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N:\North\projects\Contracts\Procurement\Project Homekey Round 3\"/>
    </mc:Choice>
  </mc:AlternateContent>
  <xr:revisionPtr revIDLastSave="0" documentId="13_ncr:1_{D9071010-FC25-4E28-8B51-8AC024EF33C3}" xr6:coauthVersionLast="47" xr6:coauthVersionMax="47" xr10:uidLastSave="{00000000-0000-0000-0000-000000000000}"/>
  <workbookProtection workbookAlgorithmName="SHA-512" workbookHashValue="Q3/FnQh0owJ2J7R509gZ+qwvJ+TLoIJpMftNmK/lKr1CHQNvjA5ZcBV3o9/KvVJyOsrGdovzzo3yosg+dpkeIw==" workbookSaltValue="Kx6zio/WnBVZlTEsiH9HEQ==" workbookSpinCount="100000" lockStructure="1"/>
  <bookViews>
    <workbookView xWindow="29280" yWindow="480" windowWidth="26415" windowHeight="14685" tabRatio="922" xr2:uid="{00000000-000D-0000-FFFF-FFFF00000000}"/>
  </bookViews>
  <sheets>
    <sheet name="CoverPage" sheetId="83" r:id="rId1"/>
    <sheet name="Overview" sheetId="29" r:id="rId2"/>
    <sheet name="Threshold" sheetId="112" r:id="rId3"/>
    <sheet name="Certification &amp; Legal" sheetId="110" r:id="rId4"/>
    <sheet name="Applicant Documents" sheetId="111" r:id="rId5"/>
    <sheet name="Supportive Services Plan" sheetId="113" r:id="rId6"/>
    <sheet name="Local &amp; Env Verification" sheetId="101" r:id="rId7"/>
    <sheet name="Award, Match, and Revenue" sheetId="102" r:id="rId8"/>
    <sheet name="MTSP 50% Income Limits " sheetId="105" state="hidden" r:id="rId9"/>
    <sheet name="Rent Limits" sheetId="106" state="hidden" r:id="rId10"/>
    <sheet name="Drop Down" sheetId="68" state="hidden" r:id="rId11"/>
    <sheet name="Dev Sources" sheetId="103" r:id="rId12"/>
    <sheet name="Dev Budget" sheetId="104" r:id="rId13"/>
    <sheet name="Operating" sheetId="107" r:id="rId14"/>
    <sheet name="Cash Flow" sheetId="108" r:id="rId15"/>
    <sheet name="Application Scoring Criteria" sheetId="94" r:id="rId16"/>
    <sheet name="App Support" sheetId="82" r:id="rId17"/>
    <sheet name="Upload Checklists" sheetId="114"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15" hidden="1">'Application Scoring Criteria'!$A$33:$AO$63</definedName>
    <definedName name="_xlnm._FilterDatabase" localSheetId="7" hidden="1">'Award, Match, and Revenue'!#REF!</definedName>
    <definedName name="_xlnm._FilterDatabase" localSheetId="9" hidden="1">'Rent Limits'!$A$1:$A$1045</definedName>
    <definedName name="dd_col_num" localSheetId="8">MATCH(Unit,dd_unit_type,0)</definedName>
    <definedName name="dd_col_num" localSheetId="9">MATCH(Unit,dd_unit_type,0)</definedName>
    <definedName name="Funding" localSheetId="16" hidden="1">{"Sources and Uses - Construction",#N/A,FALSE,"Construction S &amp; U"}</definedName>
    <definedName name="Funding" localSheetId="4" hidden="1">{"Sources and Uses - Construction",#N/A,FALSE,"Construction S &amp; U"}</definedName>
    <definedName name="Funding" localSheetId="15" hidden="1">{"Sources and Uses - Construction",#N/A,FALSE,"Construction S &amp; U"}</definedName>
    <definedName name="Funding" localSheetId="14" hidden="1">{"Sources and Uses - Construction",#N/A,FALSE,"Construction S &amp; U"}</definedName>
    <definedName name="Funding" localSheetId="3" hidden="1">{"Sources and Uses - Construction",#N/A,FALSE,"Construction S &amp; U"}</definedName>
    <definedName name="Funding" localSheetId="12" hidden="1">{"Sources and Uses - Construction",#N/A,FALSE,"Construction S &amp; U"}</definedName>
    <definedName name="Funding" localSheetId="11" hidden="1">{"Sources and Uses - Construction",#N/A,FALSE,"Construction S &amp; U"}</definedName>
    <definedName name="Funding" localSheetId="10" hidden="1">{"Sources and Uses - Construction",#N/A,FALSE,"Construction S &amp; U"}</definedName>
    <definedName name="Funding" localSheetId="6" hidden="1">{"Sources and Uses - Construction",#N/A,FALSE,"Construction S &amp; U"}</definedName>
    <definedName name="Funding" localSheetId="8" hidden="1">{"Sources and Uses - Construction",#N/A,FALSE,"Construction S &amp; U"}</definedName>
    <definedName name="Funding" localSheetId="13" hidden="1">{"Sources and Uses - Construction",#N/A,FALSE,"Construction S &amp; U"}</definedName>
    <definedName name="Funding" localSheetId="9" hidden="1">{"Sources and Uses - Construction",#N/A,FALSE,"Construction S &amp; U"}</definedName>
    <definedName name="Funding" localSheetId="17" hidden="1">{"Sources and Uses - Construction",#N/A,FALSE,"Construction S &amp; U"}</definedName>
    <definedName name="Funding" hidden="1">{"Sources and Uses - Construction",#N/A,FALSE,"Construction S &amp; U"}</definedName>
    <definedName name="FundingX" localSheetId="16" hidden="1">{"Sources and Uses - Construction",#N/A,FALSE,"Construction S &amp; U"}</definedName>
    <definedName name="FundingX" localSheetId="4" hidden="1">{"Sources and Uses - Construction",#N/A,FALSE,"Construction S &amp; U"}</definedName>
    <definedName name="FundingX" localSheetId="15" hidden="1">{"Sources and Uses - Construction",#N/A,FALSE,"Construction S &amp; U"}</definedName>
    <definedName name="FundingX" localSheetId="14" hidden="1">{"Sources and Uses - Construction",#N/A,FALSE,"Construction S &amp; U"}</definedName>
    <definedName name="FundingX" localSheetId="3" hidden="1">{"Sources and Uses - Construction",#N/A,FALSE,"Construction S &amp; U"}</definedName>
    <definedName name="FundingX" localSheetId="12" hidden="1">{"Sources and Uses - Construction",#N/A,FALSE,"Construction S &amp; U"}</definedName>
    <definedName name="FundingX" localSheetId="11" hidden="1">{"Sources and Uses - Construction",#N/A,FALSE,"Construction S &amp; U"}</definedName>
    <definedName name="FundingX" localSheetId="10" hidden="1">{"Sources and Uses - Construction",#N/A,FALSE,"Construction S &amp; U"}</definedName>
    <definedName name="FundingX" localSheetId="6" hidden="1">{"Sources and Uses - Construction",#N/A,FALSE,"Construction S &amp; U"}</definedName>
    <definedName name="FundingX" localSheetId="8" hidden="1">{"Sources and Uses - Construction",#N/A,FALSE,"Construction S &amp; U"}</definedName>
    <definedName name="FundingX" localSheetId="13" hidden="1">{"Sources and Uses - Construction",#N/A,FALSE,"Construction S &amp; U"}</definedName>
    <definedName name="FundingX" localSheetId="9" hidden="1">{"Sources and Uses - Construction",#N/A,FALSE,"Construction S &amp; U"}</definedName>
    <definedName name="FundingX" localSheetId="17" hidden="1">{"Sources and Uses - Construction",#N/A,FALSE,"Construction S &amp; U"}</definedName>
    <definedName name="FundingX" hidden="1">{"Sources and Uses - Construction",#N/A,FALSE,"Construction S &amp; U"}</definedName>
    <definedName name="George3" localSheetId="16" hidden="1">{"Project Summary",#N/A,FALSE,"Project Summary";"Rent Summary",#N/A,FALSE,"Rent Summary";"Operating Budget Detail",#N/A,FALSE,"Operations";"Operating Budget Summary",#N/A,FALSE,"Operations";"Sources and Uses",#N/A,FALSE,"Sources &amp; Uses";"Cash Flow",#N/A,FALSE,"Cash Flow"}</definedName>
    <definedName name="George3" localSheetId="4" hidden="1">{"Project Summary",#N/A,FALSE,"Project Summary";"Rent Summary",#N/A,FALSE,"Rent Summary";"Operating Budget Detail",#N/A,FALSE,"Operations";"Operating Budget Summary",#N/A,FALSE,"Operations";"Sources and Uses",#N/A,FALSE,"Sources &amp; Uses";"Cash Flow",#N/A,FALSE,"Cash Flow"}</definedName>
    <definedName name="George3" localSheetId="15" hidden="1">{"Project Summary",#N/A,FALSE,"Project Summary";"Rent Summary",#N/A,FALSE,"Rent Summary";"Operating Budget Detail",#N/A,FALSE,"Operations";"Operating Budget Summary",#N/A,FALSE,"Operations";"Sources and Uses",#N/A,FALSE,"Sources &amp; Uses";"Cash Flow",#N/A,FALSE,"Cash Flow"}</definedName>
    <definedName name="George3" localSheetId="14" hidden="1">{"Project Summary",#N/A,FALSE,"Project Summary";"Rent Summary",#N/A,FALSE,"Rent Summary";"Operating Budget Detail",#N/A,FALSE,"Operations";"Operating Budget Summary",#N/A,FALSE,"Operations";"Sources and Uses",#N/A,FALSE,"Sources &amp; Uses";"Cash Flow",#N/A,FALSE,"Cash Flow"}</definedName>
    <definedName name="George3" localSheetId="3" hidden="1">{"Project Summary",#N/A,FALSE,"Project Summary";"Rent Summary",#N/A,FALSE,"Rent Summary";"Operating Budget Detail",#N/A,FALSE,"Operations";"Operating Budget Summary",#N/A,FALSE,"Operations";"Sources and Uses",#N/A,FALSE,"Sources &amp; Uses";"Cash Flow",#N/A,FALSE,"Cash Flow"}</definedName>
    <definedName name="George3" localSheetId="12" hidden="1">{"Project Summary",#N/A,FALSE,"Project Summary";"Rent Summary",#N/A,FALSE,"Rent Summary";"Operating Budget Detail",#N/A,FALSE,"Operations";"Operating Budget Summary",#N/A,FALSE,"Operations";"Sources and Uses",#N/A,FALSE,"Sources &amp; Uses";"Cash Flow",#N/A,FALSE,"Cash Flow"}</definedName>
    <definedName name="George3" localSheetId="11" hidden="1">{"Project Summary",#N/A,FALSE,"Project Summary";"Rent Summary",#N/A,FALSE,"Rent Summary";"Operating Budget Detail",#N/A,FALSE,"Operations";"Operating Budget Summary",#N/A,FALSE,"Operations";"Sources and Uses",#N/A,FALSE,"Sources &amp; Uses";"Cash Flow",#N/A,FALSE,"Cash Flow"}</definedName>
    <definedName name="George3" localSheetId="10" hidden="1">{"Project Summary",#N/A,FALSE,"Project Summary";"Rent Summary",#N/A,FALSE,"Rent Summary";"Operating Budget Detail",#N/A,FALSE,"Operations";"Operating Budget Summary",#N/A,FALSE,"Operations";"Sources and Uses",#N/A,FALSE,"Sources &amp; Uses";"Cash Flow",#N/A,FALSE,"Cash Flow"}</definedName>
    <definedName name="George3" localSheetId="6" hidden="1">{"Project Summary",#N/A,FALSE,"Project Summary";"Rent Summary",#N/A,FALSE,"Rent Summary";"Operating Budget Detail",#N/A,FALSE,"Operations";"Operating Budget Summary",#N/A,FALSE,"Operations";"Sources and Uses",#N/A,FALSE,"Sources &amp; Uses";"Cash Flow",#N/A,FALSE,"Cash Flow"}</definedName>
    <definedName name="George3" localSheetId="8" hidden="1">{"Project Summary",#N/A,FALSE,"Project Summary";"Rent Summary",#N/A,FALSE,"Rent Summary";"Operating Budget Detail",#N/A,FALSE,"Operations";"Operating Budget Summary",#N/A,FALSE,"Operations";"Sources and Uses",#N/A,FALSE,"Sources &amp; Uses";"Cash Flow",#N/A,FALSE,"Cash Flow"}</definedName>
    <definedName name="George3" localSheetId="13" hidden="1">{"Project Summary",#N/A,FALSE,"Project Summary";"Rent Summary",#N/A,FALSE,"Rent Summary";"Operating Budget Detail",#N/A,FALSE,"Operations";"Operating Budget Summary",#N/A,FALSE,"Operations";"Sources and Uses",#N/A,FALSE,"Sources &amp; Uses";"Cash Flow",#N/A,FALSE,"Cash Flow"}</definedName>
    <definedName name="George3" localSheetId="9" hidden="1">{"Project Summary",#N/A,FALSE,"Project Summary";"Rent Summary",#N/A,FALSE,"Rent Summary";"Operating Budget Detail",#N/A,FALSE,"Operations";"Operating Budget Summary",#N/A,FALSE,"Operations";"Sources and Uses",#N/A,FALSE,"Sources &amp; Uses";"Cash Flow",#N/A,FALSE,"Cash Flow"}</definedName>
    <definedName name="George3" localSheetId="17" hidden="1">{"Project Summary",#N/A,FALSE,"Project Summary";"Rent Summary",#N/A,FALSE,"Rent Summary";"Operating Budget Detail",#N/A,FALSE,"Operations";"Operating Budget Summary",#N/A,FALSE,"Operations";"Sources and Uses",#N/A,FALSE,"Sources &amp; Uses";"Cash Flow",#N/A,FALSE,"Cash Flow"}</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localSheetId="16" hidden="1">{"Cash Flow",#N/A,FALSE,"Cash Flow"}</definedName>
    <definedName name="George4" localSheetId="4" hidden="1">{"Cash Flow",#N/A,FALSE,"Cash Flow"}</definedName>
    <definedName name="George4" localSheetId="15" hidden="1">{"Cash Flow",#N/A,FALSE,"Cash Flow"}</definedName>
    <definedName name="George4" localSheetId="14" hidden="1">{"Cash Flow",#N/A,FALSE,"Cash Flow"}</definedName>
    <definedName name="George4" localSheetId="3" hidden="1">{"Cash Flow",#N/A,FALSE,"Cash Flow"}</definedName>
    <definedName name="George4" localSheetId="12" hidden="1">{"Cash Flow",#N/A,FALSE,"Cash Flow"}</definedName>
    <definedName name="George4" localSheetId="11" hidden="1">{"Cash Flow",#N/A,FALSE,"Cash Flow"}</definedName>
    <definedName name="George4" localSheetId="10" hidden="1">{"Cash Flow",#N/A,FALSE,"Cash Flow"}</definedName>
    <definedName name="George4" localSheetId="6" hidden="1">{"Cash Flow",#N/A,FALSE,"Cash Flow"}</definedName>
    <definedName name="George4" localSheetId="8" hidden="1">{"Cash Flow",#N/A,FALSE,"Cash Flow"}</definedName>
    <definedName name="George4" localSheetId="13" hidden="1">{"Cash Flow",#N/A,FALSE,"Cash Flow"}</definedName>
    <definedName name="George4" localSheetId="9" hidden="1">{"Cash Flow",#N/A,FALSE,"Cash Flow"}</definedName>
    <definedName name="George4" localSheetId="17" hidden="1">{"Cash Flow",#N/A,FALSE,"Cash Flow"}</definedName>
    <definedName name="George4" hidden="1">{"Cash Flow",#N/A,FALSE,"Cash Flow"}</definedName>
    <definedName name="hfgjhfgh" localSheetId="4" hidden="1">{"Operating Budget Detail",#N/A,FALSE,"Operations"}</definedName>
    <definedName name="hfgjhfgh" localSheetId="15" hidden="1">{"Operating Budget Detail",#N/A,FALSE,"Operations"}</definedName>
    <definedName name="hfgjhfgh" localSheetId="14" hidden="1">{"Operating Budget Detail",#N/A,FALSE,"Operations"}</definedName>
    <definedName name="hfgjhfgh" localSheetId="3" hidden="1">{"Operating Budget Detail",#N/A,FALSE,"Operations"}</definedName>
    <definedName name="hfgjhfgh" localSheetId="12" hidden="1">{"Operating Budget Detail",#N/A,FALSE,"Operations"}</definedName>
    <definedName name="hfgjhfgh" localSheetId="11" hidden="1">{"Operating Budget Detail",#N/A,FALSE,"Operations"}</definedName>
    <definedName name="hfgjhfgh" localSheetId="6" hidden="1">{"Operating Budget Detail",#N/A,FALSE,"Operations"}</definedName>
    <definedName name="hfgjhfgh" localSheetId="8" hidden="1">{"Operating Budget Detail",#N/A,FALSE,"Operations"}</definedName>
    <definedName name="hfgjhfgh" localSheetId="13" hidden="1">{"Operating Budget Detail",#N/A,FALSE,"Operations"}</definedName>
    <definedName name="hfgjhfgh" localSheetId="9" hidden="1">{"Operating Budget Detail",#N/A,FALSE,"Operations"}</definedName>
    <definedName name="hfgjhfgh" localSheetId="17" hidden="1">{"Operating Budget Detail",#N/A,FALSE,"Operations"}</definedName>
    <definedName name="hfgjhfgh" hidden="1">{"Operating Budget Detail",#N/A,FALSE,"Operations"}</definedName>
    <definedName name="Interest_Rate_Type" localSheetId="14" hidden="1">'[1]Drop Down'!$AK$3:$AK$9</definedName>
    <definedName name="Interest_Rate_Type" localSheetId="3" hidden="1">'[1]Drop Down'!$AK$3:$AK$9</definedName>
    <definedName name="Interest_Rate_Type" localSheetId="12" hidden="1">'[1]Drop Down'!$AK$3:$AK$9</definedName>
    <definedName name="Interest_Rate_Type" localSheetId="11" hidden="1">'[1]Drop Down'!$AK$3:$AK$9</definedName>
    <definedName name="Interest_Rate_Type" localSheetId="8" hidden="1">'[1]Drop Down'!$AK$3:$AK$9</definedName>
    <definedName name="Interest_Rate_Type" localSheetId="13" hidden="1">'[1]Drop Down'!$AK$3:$AK$9</definedName>
    <definedName name="Interest_Rate_Type" localSheetId="9" hidden="1">'[1]Drop Down'!$AK$3:$AK$9</definedName>
    <definedName name="Interest_Rate_Type" hidden="1">'[2]Drop Down'!$AK$3:$AK$9</definedName>
    <definedName name="_xlnm.Print_Area" localSheetId="3">'Certification &amp; Legal'!$A$1:$AL$39</definedName>
    <definedName name="_xlnm.Print_Area" localSheetId="13">Operating!$A$1:$F$136</definedName>
    <definedName name="_xlnm.Print_Titles" localSheetId="16">'App Support'!$1:$4</definedName>
    <definedName name="_xlnm.Print_Titles" localSheetId="15">'Application Scoring Criteria'!$1:$1</definedName>
    <definedName name="_xlnm.Print_Titles" localSheetId="12">'Dev Budget'!$1:$4</definedName>
    <definedName name="_xlnm.Print_Titles" localSheetId="13">Operating!$1:$2</definedName>
    <definedName name="_xlnm.Print_Titles" localSheetId="1">Overview!$1:$1</definedName>
    <definedName name="_xlnm.Print_Titles" localSheetId="5">'Supportive Services Plan'!$1:$1</definedName>
    <definedName name="_xlnm.Print_Titles" localSheetId="2">Threshold!$1:$1</definedName>
    <definedName name="_xlnm.Print_Titles" localSheetId="17">'Upload Checklists'!$1:$1</definedName>
    <definedName name="Repayment_Terms_Type" localSheetId="14" hidden="1">'[1]Drop Down'!$AJ$3:$AJ$14</definedName>
    <definedName name="Repayment_Terms_Type" localSheetId="3" hidden="1">'[1]Drop Down'!$AJ$3:$AJ$14</definedName>
    <definedName name="Repayment_Terms_Type" localSheetId="12" hidden="1">'[1]Drop Down'!$AJ$3:$AJ$14</definedName>
    <definedName name="Repayment_Terms_Type" localSheetId="11" hidden="1">'[1]Drop Down'!$AJ$3:$AJ$14</definedName>
    <definedName name="Repayment_Terms_Type" localSheetId="8" hidden="1">'[1]Drop Down'!$AJ$3:$AJ$14</definedName>
    <definedName name="Repayment_Terms_Type" localSheetId="13" hidden="1">'[1]Drop Down'!$AJ$3:$AJ$14</definedName>
    <definedName name="Repayment_Terms_Type" localSheetId="9" hidden="1">'[1]Drop Down'!$AJ$3:$AJ$14</definedName>
    <definedName name="Repayment_Terms_Type" hidden="1">'[2]Drop Down'!$AJ$3:$AJ$14</definedName>
    <definedName name="Required_Payment" localSheetId="14" hidden="1">'[1]Drop Down'!$AI$3:$AI$8</definedName>
    <definedName name="Required_Payment" localSheetId="3" hidden="1">'[1]Drop Down'!$AI$3:$AI$8</definedName>
    <definedName name="Required_Payment" localSheetId="12" hidden="1">'[1]Drop Down'!$AI$3:$AI$8</definedName>
    <definedName name="Required_Payment" localSheetId="11" hidden="1">'[1]Drop Down'!$AI$3:$AI$8</definedName>
    <definedName name="Required_Payment" localSheetId="8" hidden="1">'[1]Drop Down'!$AI$3:$AI$8</definedName>
    <definedName name="Required_Payment" localSheetId="13" hidden="1">'[1]Drop Down'!$AI$3:$AI$8</definedName>
    <definedName name="Required_Payment" localSheetId="9" hidden="1">'[1]Drop Down'!$AI$3:$AI$8</definedName>
    <definedName name="Required_Payment" hidden="1">'[2]Drop Down'!$AI$3:$AI$8</definedName>
    <definedName name="Sample" localSheetId="16" hidden="1">{"Operating Budget Detail",#N/A,FALSE,"Operations"}</definedName>
    <definedName name="Sample" localSheetId="4" hidden="1">{"Operating Budget Detail",#N/A,FALSE,"Operations"}</definedName>
    <definedName name="Sample" localSheetId="15" hidden="1">{"Operating Budget Detail",#N/A,FALSE,"Operations"}</definedName>
    <definedName name="Sample" localSheetId="14" hidden="1">{"Operating Budget Detail",#N/A,FALSE,"Operations"}</definedName>
    <definedName name="Sample" localSheetId="3" hidden="1">{"Operating Budget Detail",#N/A,FALSE,"Operations"}</definedName>
    <definedName name="Sample" localSheetId="12" hidden="1">{"Operating Budget Detail",#N/A,FALSE,"Operations"}</definedName>
    <definedName name="Sample" localSheetId="11" hidden="1">{"Operating Budget Detail",#N/A,FALSE,"Operations"}</definedName>
    <definedName name="Sample" localSheetId="10" hidden="1">{"Operating Budget Detail",#N/A,FALSE,"Operations"}</definedName>
    <definedName name="Sample" localSheetId="6" hidden="1">{"Operating Budget Detail",#N/A,FALSE,"Operations"}</definedName>
    <definedName name="Sample" localSheetId="8" hidden="1">{"Operating Budget Detail",#N/A,FALSE,"Operations"}</definedName>
    <definedName name="Sample" localSheetId="13" hidden="1">{"Operating Budget Detail",#N/A,FALSE,"Operations"}</definedName>
    <definedName name="Sample" localSheetId="9" hidden="1">{"Operating Budget Detail",#N/A,FALSE,"Operations"}</definedName>
    <definedName name="Sample" localSheetId="17" hidden="1">{"Operating Budget Detail",#N/A,FALSE,"Operations"}</definedName>
    <definedName name="Sample" hidden="1">{"Operating Budget Detail",#N/A,FALSE,"Operations"}</definedName>
    <definedName name="SampleX" localSheetId="16" hidden="1">{"Operating Budget Detail",#N/A,FALSE,"Operations"}</definedName>
    <definedName name="SampleX" localSheetId="4" hidden="1">{"Operating Budget Detail",#N/A,FALSE,"Operations"}</definedName>
    <definedName name="SampleX" localSheetId="15" hidden="1">{"Operating Budget Detail",#N/A,FALSE,"Operations"}</definedName>
    <definedName name="SampleX" localSheetId="14" hidden="1">{"Operating Budget Detail",#N/A,FALSE,"Operations"}</definedName>
    <definedName name="SampleX" localSheetId="3" hidden="1">{"Operating Budget Detail",#N/A,FALSE,"Operations"}</definedName>
    <definedName name="SampleX" localSheetId="12" hidden="1">{"Operating Budget Detail",#N/A,FALSE,"Operations"}</definedName>
    <definedName name="SampleX" localSheetId="11" hidden="1">{"Operating Budget Detail",#N/A,FALSE,"Operations"}</definedName>
    <definedName name="SampleX" localSheetId="10" hidden="1">{"Operating Budget Detail",#N/A,FALSE,"Operations"}</definedName>
    <definedName name="SampleX" localSheetId="6" hidden="1">{"Operating Budget Detail",#N/A,FALSE,"Operations"}</definedName>
    <definedName name="SampleX" localSheetId="8" hidden="1">{"Operating Budget Detail",#N/A,FALSE,"Operations"}</definedName>
    <definedName name="SampleX" localSheetId="13" hidden="1">{"Operating Budget Detail",#N/A,FALSE,"Operations"}</definedName>
    <definedName name="SampleX" localSheetId="9" hidden="1">{"Operating Budget Detail",#N/A,FALSE,"Operations"}</definedName>
    <definedName name="SampleX" localSheetId="17" hidden="1">{"Operating Budget Detail",#N/A,FALSE,"Operations"}</definedName>
    <definedName name="SampleX" hidden="1">{"Operating Budget Detail",#N/A,FALSE,"Operations"}</definedName>
    <definedName name="SD_1x1_18x1_1_S_0" localSheetId="4" hidden="1">#REF!</definedName>
    <definedName name="SD_1x1_18x1_1_S_0" localSheetId="14" hidden="1">#REF!</definedName>
    <definedName name="SD_1x1_18x1_1_S_0" localSheetId="3" hidden="1">#REF!</definedName>
    <definedName name="SD_1x1_18x1_1_S_0" localSheetId="12" hidden="1">#REF!</definedName>
    <definedName name="SD_1x1_18x1_1_S_0" localSheetId="11" hidden="1">#REF!</definedName>
    <definedName name="SD_1x1_18x1_1_S_0" localSheetId="6" hidden="1">#REF!</definedName>
    <definedName name="SD_1x1_18x1_1_S_0" localSheetId="8" hidden="1">#REF!</definedName>
    <definedName name="SD_1x1_18x1_1_S_0" localSheetId="13" hidden="1">#REF!</definedName>
    <definedName name="SD_1x1_18x1_1_S_0" localSheetId="9" hidden="1">#REF!</definedName>
    <definedName name="SD_1x1_18x1_1_S_0" localSheetId="17" hidden="1">#REF!</definedName>
    <definedName name="SD_1x1_18x1_1_S_0" hidden="1">#REF!</definedName>
    <definedName name="SD_1x1_18x1_11_S_0" localSheetId="4" hidden="1">#REF!</definedName>
    <definedName name="SD_1x1_18x1_11_S_0" localSheetId="15" hidden="1">#REF!</definedName>
    <definedName name="SD_1x1_18x1_11_S_0" localSheetId="14" hidden="1">#REF!</definedName>
    <definedName name="SD_1x1_18x1_11_S_0" localSheetId="3" hidden="1">#REF!</definedName>
    <definedName name="SD_1x1_18x1_11_S_0" localSheetId="12" hidden="1">#REF!</definedName>
    <definedName name="SD_1x1_18x1_11_S_0" localSheetId="11" hidden="1">#REF!</definedName>
    <definedName name="SD_1x1_18x1_11_S_0" localSheetId="6" hidden="1">#REF!</definedName>
    <definedName name="SD_1x1_18x1_11_S_0" localSheetId="8" hidden="1">#REF!</definedName>
    <definedName name="SD_1x1_18x1_11_S_0" localSheetId="13" hidden="1">#REF!</definedName>
    <definedName name="SD_1x1_18x1_11_S_0" localSheetId="9" hidden="1">#REF!</definedName>
    <definedName name="SD_1x1_18x1_11_S_0" localSheetId="17" hidden="1">#REF!</definedName>
    <definedName name="SD_1x1_18x1_11_S_0" hidden="1">#REF!</definedName>
    <definedName name="SD_1x1_18x1_12_S_0" localSheetId="4" hidden="1">#REF!</definedName>
    <definedName name="SD_1x1_18x1_12_S_0" localSheetId="15" hidden="1">#REF!</definedName>
    <definedName name="SD_1x1_18x1_12_S_0" localSheetId="14" hidden="1">#REF!</definedName>
    <definedName name="SD_1x1_18x1_12_S_0" localSheetId="3" hidden="1">#REF!</definedName>
    <definedName name="SD_1x1_18x1_12_S_0" localSheetId="12" hidden="1">#REF!</definedName>
    <definedName name="SD_1x1_18x1_12_S_0" localSheetId="11" hidden="1">#REF!</definedName>
    <definedName name="SD_1x1_18x1_12_S_0" localSheetId="6" hidden="1">#REF!</definedName>
    <definedName name="SD_1x1_18x1_12_S_0" localSheetId="8" hidden="1">#REF!</definedName>
    <definedName name="SD_1x1_18x1_12_S_0" localSheetId="13" hidden="1">#REF!</definedName>
    <definedName name="SD_1x1_18x1_12_S_0" localSheetId="9" hidden="1">#REF!</definedName>
    <definedName name="SD_1x1_18x1_12_S_0" localSheetId="17" hidden="1">#REF!</definedName>
    <definedName name="SD_1x1_18x1_12_S_0" hidden="1">#REF!</definedName>
    <definedName name="SD_1x1_18x1_3_S_0" localSheetId="4" hidden="1">#REF!</definedName>
    <definedName name="SD_1x1_18x1_3_S_0" localSheetId="15" hidden="1">#REF!</definedName>
    <definedName name="SD_1x1_18x1_3_S_0" localSheetId="14" hidden="1">#REF!</definedName>
    <definedName name="SD_1x1_18x1_3_S_0" localSheetId="3" hidden="1">#REF!</definedName>
    <definedName name="SD_1x1_18x1_3_S_0" localSheetId="12" hidden="1">#REF!</definedName>
    <definedName name="SD_1x1_18x1_3_S_0" localSheetId="11" hidden="1">#REF!</definedName>
    <definedName name="SD_1x1_18x1_3_S_0" localSheetId="6" hidden="1">#REF!</definedName>
    <definedName name="SD_1x1_18x1_3_S_0" localSheetId="8" hidden="1">#REF!</definedName>
    <definedName name="SD_1x1_18x1_3_S_0" localSheetId="13" hidden="1">#REF!</definedName>
    <definedName name="SD_1x1_18x1_3_S_0" localSheetId="9" hidden="1">#REF!</definedName>
    <definedName name="SD_1x1_18x1_3_S_0" localSheetId="17" hidden="1">#REF!</definedName>
    <definedName name="SD_1x1_18x1_3_S_0" hidden="1">#REF!</definedName>
    <definedName name="SD_1x1_18x1_5_S_0" localSheetId="4" hidden="1">#REF!</definedName>
    <definedName name="SD_1x1_18x1_5_S_0" localSheetId="15" hidden="1">#REF!</definedName>
    <definedName name="SD_1x1_18x1_5_S_0" localSheetId="14" hidden="1">#REF!</definedName>
    <definedName name="SD_1x1_18x1_5_S_0" localSheetId="3" hidden="1">#REF!</definedName>
    <definedName name="SD_1x1_18x1_5_S_0" localSheetId="12" hidden="1">#REF!</definedName>
    <definedName name="SD_1x1_18x1_5_S_0" localSheetId="11" hidden="1">#REF!</definedName>
    <definedName name="SD_1x1_18x1_5_S_0" localSheetId="6" hidden="1">#REF!</definedName>
    <definedName name="SD_1x1_18x1_5_S_0" localSheetId="8" hidden="1">#REF!</definedName>
    <definedName name="SD_1x1_18x1_5_S_0" localSheetId="13" hidden="1">#REF!</definedName>
    <definedName name="SD_1x1_18x1_5_S_0" localSheetId="9" hidden="1">#REF!</definedName>
    <definedName name="SD_1x1_18x1_5_S_0" localSheetId="17" hidden="1">#REF!</definedName>
    <definedName name="SD_1x1_18x1_5_S_0" hidden="1">#REF!</definedName>
    <definedName name="SD_1x1_18x1_6_S_152" localSheetId="4" hidden="1">#REF!</definedName>
    <definedName name="SD_1x1_18x1_6_S_152" localSheetId="15" hidden="1">#REF!</definedName>
    <definedName name="SD_1x1_18x1_6_S_152" localSheetId="14" hidden="1">#REF!</definedName>
    <definedName name="SD_1x1_18x1_6_S_152" localSheetId="3" hidden="1">#REF!</definedName>
    <definedName name="SD_1x1_18x1_6_S_152" localSheetId="12" hidden="1">#REF!</definedName>
    <definedName name="SD_1x1_18x1_6_S_152" localSheetId="11" hidden="1">#REF!</definedName>
    <definedName name="SD_1x1_18x1_6_S_152" localSheetId="6" hidden="1">#REF!</definedName>
    <definedName name="SD_1x1_18x1_6_S_152" localSheetId="8" hidden="1">#REF!</definedName>
    <definedName name="SD_1x1_18x1_6_S_152" localSheetId="13" hidden="1">#REF!</definedName>
    <definedName name="SD_1x1_18x1_6_S_152" localSheetId="9" hidden="1">#REF!</definedName>
    <definedName name="SD_1x1_18x1_6_S_152" localSheetId="17" hidden="1">#REF!</definedName>
    <definedName name="SD_1x1_18x1_6_S_152" hidden="1">#REF!</definedName>
    <definedName name="SD_1x1_18x1_7_S_0" localSheetId="4" hidden="1">#REF!</definedName>
    <definedName name="SD_1x1_18x1_7_S_0" localSheetId="15" hidden="1">#REF!</definedName>
    <definedName name="SD_1x1_18x1_7_S_0" localSheetId="14" hidden="1">#REF!</definedName>
    <definedName name="SD_1x1_18x1_7_S_0" localSheetId="3" hidden="1">#REF!</definedName>
    <definedName name="SD_1x1_18x1_7_S_0" localSheetId="12" hidden="1">#REF!</definedName>
    <definedName name="SD_1x1_18x1_7_S_0" localSheetId="11" hidden="1">#REF!</definedName>
    <definedName name="SD_1x1_18x1_7_S_0" localSheetId="6" hidden="1">#REF!</definedName>
    <definedName name="SD_1x1_18x1_7_S_0" localSheetId="8" hidden="1">#REF!</definedName>
    <definedName name="SD_1x1_18x1_7_S_0" localSheetId="13" hidden="1">#REF!</definedName>
    <definedName name="SD_1x1_18x1_7_S_0" localSheetId="9" hidden="1">#REF!</definedName>
    <definedName name="SD_1x1_18x1_7_S_0" localSheetId="17" hidden="1">#REF!</definedName>
    <definedName name="SD_1x1_18x1_7_S_0" hidden="1">#REF!</definedName>
    <definedName name="SD_1x1_18x1_9_S_0" localSheetId="4" hidden="1">#REF!</definedName>
    <definedName name="SD_1x1_18x1_9_S_0" localSheetId="15" hidden="1">#REF!</definedName>
    <definedName name="SD_1x1_18x1_9_S_0" localSheetId="14" hidden="1">#REF!</definedName>
    <definedName name="SD_1x1_18x1_9_S_0" localSheetId="3" hidden="1">#REF!</definedName>
    <definedName name="SD_1x1_18x1_9_S_0" localSheetId="12" hidden="1">#REF!</definedName>
    <definedName name="SD_1x1_18x1_9_S_0" localSheetId="11" hidden="1">#REF!</definedName>
    <definedName name="SD_1x1_18x1_9_S_0" localSheetId="6" hidden="1">#REF!</definedName>
    <definedName name="SD_1x1_18x1_9_S_0" localSheetId="8" hidden="1">#REF!</definedName>
    <definedName name="SD_1x1_18x1_9_S_0" localSheetId="13" hidden="1">#REF!</definedName>
    <definedName name="SD_1x1_18x1_9_S_0" localSheetId="9" hidden="1">#REF!</definedName>
    <definedName name="SD_1x1_18x1_9_S_0" localSheetId="17" hidden="1">#REF!</definedName>
    <definedName name="SD_1x1_18x1_9_S_0" hidden="1">#REF!</definedName>
    <definedName name="SD_1x1_20x1_1_S_0" localSheetId="4" hidden="1">#REF!</definedName>
    <definedName name="SD_1x1_20x1_1_S_0" localSheetId="15" hidden="1">#REF!</definedName>
    <definedName name="SD_1x1_20x1_1_S_0" localSheetId="14" hidden="1">#REF!</definedName>
    <definedName name="SD_1x1_20x1_1_S_0" localSheetId="3" hidden="1">#REF!</definedName>
    <definedName name="SD_1x1_20x1_1_S_0" localSheetId="12" hidden="1">#REF!</definedName>
    <definedName name="SD_1x1_20x1_1_S_0" localSheetId="11" hidden="1">#REF!</definedName>
    <definedName name="SD_1x1_20x1_1_S_0" localSheetId="6" hidden="1">#REF!</definedName>
    <definedName name="SD_1x1_20x1_1_S_0" localSheetId="8" hidden="1">#REF!</definedName>
    <definedName name="SD_1x1_20x1_1_S_0" localSheetId="13" hidden="1">#REF!</definedName>
    <definedName name="SD_1x1_20x1_1_S_0" localSheetId="9" hidden="1">#REF!</definedName>
    <definedName name="SD_1x1_20x1_1_S_0" localSheetId="17" hidden="1">#REF!</definedName>
    <definedName name="SD_1x1_20x1_1_S_0" hidden="1">#REF!</definedName>
    <definedName name="SD_1x1_20x1_11_S_0" localSheetId="4" hidden="1">#REF!</definedName>
    <definedName name="SD_1x1_20x1_11_S_0" localSheetId="15" hidden="1">#REF!</definedName>
    <definedName name="SD_1x1_20x1_11_S_0" localSheetId="14" hidden="1">#REF!</definedName>
    <definedName name="SD_1x1_20x1_11_S_0" localSheetId="3" hidden="1">#REF!</definedName>
    <definedName name="SD_1x1_20x1_11_S_0" localSheetId="12" hidden="1">#REF!</definedName>
    <definedName name="SD_1x1_20x1_11_S_0" localSheetId="11" hidden="1">#REF!</definedName>
    <definedName name="SD_1x1_20x1_11_S_0" localSheetId="6" hidden="1">#REF!</definedName>
    <definedName name="SD_1x1_20x1_11_S_0" localSheetId="8" hidden="1">#REF!</definedName>
    <definedName name="SD_1x1_20x1_11_S_0" localSheetId="13" hidden="1">#REF!</definedName>
    <definedName name="SD_1x1_20x1_11_S_0" localSheetId="9" hidden="1">#REF!</definedName>
    <definedName name="SD_1x1_20x1_11_S_0" localSheetId="17" hidden="1">#REF!</definedName>
    <definedName name="SD_1x1_20x1_11_S_0" hidden="1">#REF!</definedName>
    <definedName name="SD_1x1_20x1_12_S_0" localSheetId="4" hidden="1">#REF!</definedName>
    <definedName name="SD_1x1_20x1_12_S_0" localSheetId="15" hidden="1">#REF!</definedName>
    <definedName name="SD_1x1_20x1_12_S_0" localSheetId="14" hidden="1">#REF!</definedName>
    <definedName name="SD_1x1_20x1_12_S_0" localSheetId="3" hidden="1">#REF!</definedName>
    <definedName name="SD_1x1_20x1_12_S_0" localSheetId="12" hidden="1">#REF!</definedName>
    <definedName name="SD_1x1_20x1_12_S_0" localSheetId="11" hidden="1">#REF!</definedName>
    <definedName name="SD_1x1_20x1_12_S_0" localSheetId="6" hidden="1">#REF!</definedName>
    <definedName name="SD_1x1_20x1_12_S_0" localSheetId="8" hidden="1">#REF!</definedName>
    <definedName name="SD_1x1_20x1_12_S_0" localSheetId="13" hidden="1">#REF!</definedName>
    <definedName name="SD_1x1_20x1_12_S_0" localSheetId="9" hidden="1">#REF!</definedName>
    <definedName name="SD_1x1_20x1_12_S_0" localSheetId="17" hidden="1">#REF!</definedName>
    <definedName name="SD_1x1_20x1_12_S_0" hidden="1">#REF!</definedName>
    <definedName name="SD_1x1_20x1_3_S_0" localSheetId="4" hidden="1">#REF!</definedName>
    <definedName name="SD_1x1_20x1_3_S_0" localSheetId="15" hidden="1">#REF!</definedName>
    <definedName name="SD_1x1_20x1_3_S_0" localSheetId="14" hidden="1">#REF!</definedName>
    <definedName name="SD_1x1_20x1_3_S_0" localSheetId="3" hidden="1">#REF!</definedName>
    <definedName name="SD_1x1_20x1_3_S_0" localSheetId="12" hidden="1">#REF!</definedName>
    <definedName name="SD_1x1_20x1_3_S_0" localSheetId="11" hidden="1">#REF!</definedName>
    <definedName name="SD_1x1_20x1_3_S_0" localSheetId="6" hidden="1">#REF!</definedName>
    <definedName name="SD_1x1_20x1_3_S_0" localSheetId="8" hidden="1">#REF!</definedName>
    <definedName name="SD_1x1_20x1_3_S_0" localSheetId="13" hidden="1">#REF!</definedName>
    <definedName name="SD_1x1_20x1_3_S_0" localSheetId="9" hidden="1">#REF!</definedName>
    <definedName name="SD_1x1_20x1_3_S_0" localSheetId="17" hidden="1">#REF!</definedName>
    <definedName name="SD_1x1_20x1_3_S_0" hidden="1">#REF!</definedName>
    <definedName name="SD_1x1_20x1_5_S_0" localSheetId="4" hidden="1">#REF!</definedName>
    <definedName name="SD_1x1_20x1_5_S_0" localSheetId="15" hidden="1">#REF!</definedName>
    <definedName name="SD_1x1_20x1_5_S_0" localSheetId="14" hidden="1">#REF!</definedName>
    <definedName name="SD_1x1_20x1_5_S_0" localSheetId="3" hidden="1">#REF!</definedName>
    <definedName name="SD_1x1_20x1_5_S_0" localSheetId="12" hidden="1">#REF!</definedName>
    <definedName name="SD_1x1_20x1_5_S_0" localSheetId="11" hidden="1">#REF!</definedName>
    <definedName name="SD_1x1_20x1_5_S_0" localSheetId="6" hidden="1">#REF!</definedName>
    <definedName name="SD_1x1_20x1_5_S_0" localSheetId="8" hidden="1">#REF!</definedName>
    <definedName name="SD_1x1_20x1_5_S_0" localSheetId="13" hidden="1">#REF!</definedName>
    <definedName name="SD_1x1_20x1_5_S_0" localSheetId="9" hidden="1">#REF!</definedName>
    <definedName name="SD_1x1_20x1_5_S_0" localSheetId="17" hidden="1">#REF!</definedName>
    <definedName name="SD_1x1_20x1_5_S_0" hidden="1">#REF!</definedName>
    <definedName name="SD_1x1_20x1_6_S_152" localSheetId="4" hidden="1">#REF!</definedName>
    <definedName name="SD_1x1_20x1_6_S_152" localSheetId="15" hidden="1">#REF!</definedName>
    <definedName name="SD_1x1_20x1_6_S_152" localSheetId="14" hidden="1">#REF!</definedName>
    <definedName name="SD_1x1_20x1_6_S_152" localSheetId="3" hidden="1">#REF!</definedName>
    <definedName name="SD_1x1_20x1_6_S_152" localSheetId="12" hidden="1">#REF!</definedName>
    <definedName name="SD_1x1_20x1_6_S_152" localSheetId="11" hidden="1">#REF!</definedName>
    <definedName name="SD_1x1_20x1_6_S_152" localSheetId="6" hidden="1">#REF!</definedName>
    <definedName name="SD_1x1_20x1_6_S_152" localSheetId="8" hidden="1">#REF!</definedName>
    <definedName name="SD_1x1_20x1_6_S_152" localSheetId="13" hidden="1">#REF!</definedName>
    <definedName name="SD_1x1_20x1_6_S_152" localSheetId="9" hidden="1">#REF!</definedName>
    <definedName name="SD_1x1_20x1_6_S_152" localSheetId="17" hidden="1">#REF!</definedName>
    <definedName name="SD_1x1_20x1_6_S_152" hidden="1">#REF!</definedName>
    <definedName name="SD_1x1_20x1_7_S_0" localSheetId="4" hidden="1">#REF!</definedName>
    <definedName name="SD_1x1_20x1_7_S_0" localSheetId="15" hidden="1">#REF!</definedName>
    <definedName name="SD_1x1_20x1_7_S_0" localSheetId="14" hidden="1">#REF!</definedName>
    <definedName name="SD_1x1_20x1_7_S_0" localSheetId="3" hidden="1">#REF!</definedName>
    <definedName name="SD_1x1_20x1_7_S_0" localSheetId="12" hidden="1">#REF!</definedName>
    <definedName name="SD_1x1_20x1_7_S_0" localSheetId="11" hidden="1">#REF!</definedName>
    <definedName name="SD_1x1_20x1_7_S_0" localSheetId="6" hidden="1">#REF!</definedName>
    <definedName name="SD_1x1_20x1_7_S_0" localSheetId="8" hidden="1">#REF!</definedName>
    <definedName name="SD_1x1_20x1_7_S_0" localSheetId="13" hidden="1">#REF!</definedName>
    <definedName name="SD_1x1_20x1_7_S_0" localSheetId="9" hidden="1">#REF!</definedName>
    <definedName name="SD_1x1_20x1_7_S_0" localSheetId="17" hidden="1">#REF!</definedName>
    <definedName name="SD_1x1_20x1_7_S_0" hidden="1">#REF!</definedName>
    <definedName name="SD_1x1_20x1_9_S_0" localSheetId="4" hidden="1">#REF!</definedName>
    <definedName name="SD_1x1_20x1_9_S_0" localSheetId="15" hidden="1">#REF!</definedName>
    <definedName name="SD_1x1_20x1_9_S_0" localSheetId="14" hidden="1">#REF!</definedName>
    <definedName name="SD_1x1_20x1_9_S_0" localSheetId="3" hidden="1">#REF!</definedName>
    <definedName name="SD_1x1_20x1_9_S_0" localSheetId="12" hidden="1">#REF!</definedName>
    <definedName name="SD_1x1_20x1_9_S_0" localSheetId="11" hidden="1">#REF!</definedName>
    <definedName name="SD_1x1_20x1_9_S_0" localSheetId="6" hidden="1">#REF!</definedName>
    <definedName name="SD_1x1_20x1_9_S_0" localSheetId="8" hidden="1">#REF!</definedName>
    <definedName name="SD_1x1_20x1_9_S_0" localSheetId="13" hidden="1">#REF!</definedName>
    <definedName name="SD_1x1_20x1_9_S_0" localSheetId="9" hidden="1">#REF!</definedName>
    <definedName name="SD_1x1_20x1_9_S_0" localSheetId="17" hidden="1">#REF!</definedName>
    <definedName name="SD_1x1_20x1_9_S_0" hidden="1">#REF!</definedName>
    <definedName name="SD_1x1_22x1_1_S_0" localSheetId="4" hidden="1">#REF!</definedName>
    <definedName name="SD_1x1_22x1_1_S_0" localSheetId="15" hidden="1">#REF!</definedName>
    <definedName name="SD_1x1_22x1_1_S_0" localSheetId="14" hidden="1">#REF!</definedName>
    <definedName name="SD_1x1_22x1_1_S_0" localSheetId="3" hidden="1">#REF!</definedName>
    <definedName name="SD_1x1_22x1_1_S_0" localSheetId="12" hidden="1">#REF!</definedName>
    <definedName name="SD_1x1_22x1_1_S_0" localSheetId="11" hidden="1">#REF!</definedName>
    <definedName name="SD_1x1_22x1_1_S_0" localSheetId="6" hidden="1">#REF!</definedName>
    <definedName name="SD_1x1_22x1_1_S_0" localSheetId="8" hidden="1">#REF!</definedName>
    <definedName name="SD_1x1_22x1_1_S_0" localSheetId="13" hidden="1">#REF!</definedName>
    <definedName name="SD_1x1_22x1_1_S_0" localSheetId="9" hidden="1">#REF!</definedName>
    <definedName name="SD_1x1_22x1_1_S_0" localSheetId="17" hidden="1">#REF!</definedName>
    <definedName name="SD_1x1_22x1_1_S_0" hidden="1">#REF!</definedName>
    <definedName name="SD_1x1_22x1_11_S_0" localSheetId="4" hidden="1">#REF!</definedName>
    <definedName name="SD_1x1_22x1_11_S_0" localSheetId="15" hidden="1">#REF!</definedName>
    <definedName name="SD_1x1_22x1_11_S_0" localSheetId="14" hidden="1">#REF!</definedName>
    <definedName name="SD_1x1_22x1_11_S_0" localSheetId="3" hidden="1">#REF!</definedName>
    <definedName name="SD_1x1_22x1_11_S_0" localSheetId="12" hidden="1">#REF!</definedName>
    <definedName name="SD_1x1_22x1_11_S_0" localSheetId="11" hidden="1">#REF!</definedName>
    <definedName name="SD_1x1_22x1_11_S_0" localSheetId="6" hidden="1">#REF!</definedName>
    <definedName name="SD_1x1_22x1_11_S_0" localSheetId="8" hidden="1">#REF!</definedName>
    <definedName name="SD_1x1_22x1_11_S_0" localSheetId="13" hidden="1">#REF!</definedName>
    <definedName name="SD_1x1_22x1_11_S_0" localSheetId="9" hidden="1">#REF!</definedName>
    <definedName name="SD_1x1_22x1_11_S_0" localSheetId="17" hidden="1">#REF!</definedName>
    <definedName name="SD_1x1_22x1_11_S_0" hidden="1">#REF!</definedName>
    <definedName name="SD_1x1_22x1_12_S_0" localSheetId="4" hidden="1">#REF!</definedName>
    <definedName name="SD_1x1_22x1_12_S_0" localSheetId="15" hidden="1">#REF!</definedName>
    <definedName name="SD_1x1_22x1_12_S_0" localSheetId="14" hidden="1">#REF!</definedName>
    <definedName name="SD_1x1_22x1_12_S_0" localSheetId="3" hidden="1">#REF!</definedName>
    <definedName name="SD_1x1_22x1_12_S_0" localSheetId="12" hidden="1">#REF!</definedName>
    <definedName name="SD_1x1_22x1_12_S_0" localSheetId="11" hidden="1">#REF!</definedName>
    <definedName name="SD_1x1_22x1_12_S_0" localSheetId="6" hidden="1">#REF!</definedName>
    <definedName name="SD_1x1_22x1_12_S_0" localSheetId="8" hidden="1">#REF!</definedName>
    <definedName name="SD_1x1_22x1_12_S_0" localSheetId="13" hidden="1">#REF!</definedName>
    <definedName name="SD_1x1_22x1_12_S_0" localSheetId="9" hidden="1">#REF!</definedName>
    <definedName name="SD_1x1_22x1_12_S_0" localSheetId="17" hidden="1">#REF!</definedName>
    <definedName name="SD_1x1_22x1_12_S_0" hidden="1">#REF!</definedName>
    <definedName name="SD_1x1_22x1_3_S_0" localSheetId="4" hidden="1">#REF!</definedName>
    <definedName name="SD_1x1_22x1_3_S_0" localSheetId="15" hidden="1">#REF!</definedName>
    <definedName name="SD_1x1_22x1_3_S_0" localSheetId="14" hidden="1">#REF!</definedName>
    <definedName name="SD_1x1_22x1_3_S_0" localSheetId="3" hidden="1">#REF!</definedName>
    <definedName name="SD_1x1_22x1_3_S_0" localSheetId="12" hidden="1">#REF!</definedName>
    <definedName name="SD_1x1_22x1_3_S_0" localSheetId="11" hidden="1">#REF!</definedName>
    <definedName name="SD_1x1_22x1_3_S_0" localSheetId="6" hidden="1">#REF!</definedName>
    <definedName name="SD_1x1_22x1_3_S_0" localSheetId="8" hidden="1">#REF!</definedName>
    <definedName name="SD_1x1_22x1_3_S_0" localSheetId="13" hidden="1">#REF!</definedName>
    <definedName name="SD_1x1_22x1_3_S_0" localSheetId="9" hidden="1">#REF!</definedName>
    <definedName name="SD_1x1_22x1_3_S_0" localSheetId="17" hidden="1">#REF!</definedName>
    <definedName name="SD_1x1_22x1_3_S_0" hidden="1">#REF!</definedName>
    <definedName name="SD_1x1_22x1_5_S_0" localSheetId="4" hidden="1">#REF!</definedName>
    <definedName name="SD_1x1_22x1_5_S_0" localSheetId="15" hidden="1">#REF!</definedName>
    <definedName name="SD_1x1_22x1_5_S_0" localSheetId="14" hidden="1">#REF!</definedName>
    <definedName name="SD_1x1_22x1_5_S_0" localSheetId="3" hidden="1">#REF!</definedName>
    <definedName name="SD_1x1_22x1_5_S_0" localSheetId="12" hidden="1">#REF!</definedName>
    <definedName name="SD_1x1_22x1_5_S_0" localSheetId="11" hidden="1">#REF!</definedName>
    <definedName name="SD_1x1_22x1_5_S_0" localSheetId="6" hidden="1">#REF!</definedName>
    <definedName name="SD_1x1_22x1_5_S_0" localSheetId="8" hidden="1">#REF!</definedName>
    <definedName name="SD_1x1_22x1_5_S_0" localSheetId="13" hidden="1">#REF!</definedName>
    <definedName name="SD_1x1_22x1_5_S_0" localSheetId="9" hidden="1">#REF!</definedName>
    <definedName name="SD_1x1_22x1_5_S_0" localSheetId="17" hidden="1">#REF!</definedName>
    <definedName name="SD_1x1_22x1_5_S_0" hidden="1">#REF!</definedName>
    <definedName name="SD_1x1_22x1_6_S_152" localSheetId="4" hidden="1">#REF!</definedName>
    <definedName name="SD_1x1_22x1_6_S_152" localSheetId="15" hidden="1">#REF!</definedName>
    <definedName name="SD_1x1_22x1_6_S_152" localSheetId="14" hidden="1">#REF!</definedName>
    <definedName name="SD_1x1_22x1_6_S_152" localSheetId="3" hidden="1">#REF!</definedName>
    <definedName name="SD_1x1_22x1_6_S_152" localSheetId="12" hidden="1">#REF!</definedName>
    <definedName name="SD_1x1_22x1_6_S_152" localSheetId="11" hidden="1">#REF!</definedName>
    <definedName name="SD_1x1_22x1_6_S_152" localSheetId="6" hidden="1">#REF!</definedName>
    <definedName name="SD_1x1_22x1_6_S_152" localSheetId="8" hidden="1">#REF!</definedName>
    <definedName name="SD_1x1_22x1_6_S_152" localSheetId="13" hidden="1">#REF!</definedName>
    <definedName name="SD_1x1_22x1_6_S_152" localSheetId="9" hidden="1">#REF!</definedName>
    <definedName name="SD_1x1_22x1_6_S_152" localSheetId="17" hidden="1">#REF!</definedName>
    <definedName name="SD_1x1_22x1_6_S_152" hidden="1">#REF!</definedName>
    <definedName name="SD_1x1_22x1_7_S_0" localSheetId="4" hidden="1">#REF!</definedName>
    <definedName name="SD_1x1_22x1_7_S_0" localSheetId="15" hidden="1">#REF!</definedName>
    <definedName name="SD_1x1_22x1_7_S_0" localSheetId="14" hidden="1">#REF!</definedName>
    <definedName name="SD_1x1_22x1_7_S_0" localSheetId="3" hidden="1">#REF!</definedName>
    <definedName name="SD_1x1_22x1_7_S_0" localSheetId="12" hidden="1">#REF!</definedName>
    <definedName name="SD_1x1_22x1_7_S_0" localSheetId="11" hidden="1">#REF!</definedName>
    <definedName name="SD_1x1_22x1_7_S_0" localSheetId="6" hidden="1">#REF!</definedName>
    <definedName name="SD_1x1_22x1_7_S_0" localSheetId="8" hidden="1">#REF!</definedName>
    <definedName name="SD_1x1_22x1_7_S_0" localSheetId="13" hidden="1">#REF!</definedName>
    <definedName name="SD_1x1_22x1_7_S_0" localSheetId="9" hidden="1">#REF!</definedName>
    <definedName name="SD_1x1_22x1_7_S_0" localSheetId="17" hidden="1">#REF!</definedName>
    <definedName name="SD_1x1_22x1_7_S_0" hidden="1">#REF!</definedName>
    <definedName name="SD_1x1_22x1_9_S_0" localSheetId="4" hidden="1">#REF!</definedName>
    <definedName name="SD_1x1_22x1_9_S_0" localSheetId="15" hidden="1">#REF!</definedName>
    <definedName name="SD_1x1_22x1_9_S_0" localSheetId="14" hidden="1">#REF!</definedName>
    <definedName name="SD_1x1_22x1_9_S_0" localSheetId="3" hidden="1">#REF!</definedName>
    <definedName name="SD_1x1_22x1_9_S_0" localSheetId="12" hidden="1">#REF!</definedName>
    <definedName name="SD_1x1_22x1_9_S_0" localSheetId="11" hidden="1">#REF!</definedName>
    <definedName name="SD_1x1_22x1_9_S_0" localSheetId="6" hidden="1">#REF!</definedName>
    <definedName name="SD_1x1_22x1_9_S_0" localSheetId="8" hidden="1">#REF!</definedName>
    <definedName name="SD_1x1_22x1_9_S_0" localSheetId="13" hidden="1">#REF!</definedName>
    <definedName name="SD_1x1_22x1_9_S_0" localSheetId="9" hidden="1">#REF!</definedName>
    <definedName name="SD_1x1_22x1_9_S_0" localSheetId="17" hidden="1">#REF!</definedName>
    <definedName name="SD_1x1_22x1_9_S_0" hidden="1">#REF!</definedName>
    <definedName name="SD_1x1_23x1_1_S_0" localSheetId="4" hidden="1">#REF!</definedName>
    <definedName name="SD_1x1_23x1_1_S_0" localSheetId="15" hidden="1">#REF!</definedName>
    <definedName name="SD_1x1_23x1_1_S_0" localSheetId="14" hidden="1">#REF!</definedName>
    <definedName name="SD_1x1_23x1_1_S_0" localSheetId="3" hidden="1">#REF!</definedName>
    <definedName name="SD_1x1_23x1_1_S_0" localSheetId="12" hidden="1">#REF!</definedName>
    <definedName name="SD_1x1_23x1_1_S_0" localSheetId="11" hidden="1">#REF!</definedName>
    <definedName name="SD_1x1_23x1_1_S_0" localSheetId="6" hidden="1">#REF!</definedName>
    <definedName name="SD_1x1_23x1_1_S_0" localSheetId="8" hidden="1">#REF!</definedName>
    <definedName name="SD_1x1_23x1_1_S_0" localSheetId="13" hidden="1">#REF!</definedName>
    <definedName name="SD_1x1_23x1_1_S_0" localSheetId="9" hidden="1">#REF!</definedName>
    <definedName name="SD_1x1_23x1_1_S_0" localSheetId="17" hidden="1">#REF!</definedName>
    <definedName name="SD_1x1_23x1_1_S_0" hidden="1">#REF!</definedName>
    <definedName name="SD_1x1_23x1_11_S_0" localSheetId="4" hidden="1">#REF!</definedName>
    <definedName name="SD_1x1_23x1_11_S_0" localSheetId="15" hidden="1">#REF!</definedName>
    <definedName name="SD_1x1_23x1_11_S_0" localSheetId="14" hidden="1">#REF!</definedName>
    <definedName name="SD_1x1_23x1_11_S_0" localSheetId="3" hidden="1">#REF!</definedName>
    <definedName name="SD_1x1_23x1_11_S_0" localSheetId="12" hidden="1">#REF!</definedName>
    <definedName name="SD_1x1_23x1_11_S_0" localSheetId="11" hidden="1">#REF!</definedName>
    <definedName name="SD_1x1_23x1_11_S_0" localSheetId="6" hidden="1">#REF!</definedName>
    <definedName name="SD_1x1_23x1_11_S_0" localSheetId="8" hidden="1">#REF!</definedName>
    <definedName name="SD_1x1_23x1_11_S_0" localSheetId="13" hidden="1">#REF!</definedName>
    <definedName name="SD_1x1_23x1_11_S_0" localSheetId="9" hidden="1">#REF!</definedName>
    <definedName name="SD_1x1_23x1_11_S_0" localSheetId="17" hidden="1">#REF!</definedName>
    <definedName name="SD_1x1_23x1_11_S_0" hidden="1">#REF!</definedName>
    <definedName name="SD_1x1_23x1_3_S_0" localSheetId="4" hidden="1">#REF!</definedName>
    <definedName name="SD_1x1_23x1_3_S_0" localSheetId="15" hidden="1">#REF!</definedName>
    <definedName name="SD_1x1_23x1_3_S_0" localSheetId="14" hidden="1">#REF!</definedName>
    <definedName name="SD_1x1_23x1_3_S_0" localSheetId="3" hidden="1">#REF!</definedName>
    <definedName name="SD_1x1_23x1_3_S_0" localSheetId="12" hidden="1">#REF!</definedName>
    <definedName name="SD_1x1_23x1_3_S_0" localSheetId="11" hidden="1">#REF!</definedName>
    <definedName name="SD_1x1_23x1_3_S_0" localSheetId="6" hidden="1">#REF!</definedName>
    <definedName name="SD_1x1_23x1_3_S_0" localSheetId="8" hidden="1">#REF!</definedName>
    <definedName name="SD_1x1_23x1_3_S_0" localSheetId="13" hidden="1">#REF!</definedName>
    <definedName name="SD_1x1_23x1_3_S_0" localSheetId="9" hidden="1">#REF!</definedName>
    <definedName name="SD_1x1_23x1_3_S_0" localSheetId="17" hidden="1">#REF!</definedName>
    <definedName name="SD_1x1_23x1_3_S_0" hidden="1">#REF!</definedName>
    <definedName name="SD_1x1_23x1_5_S_0" localSheetId="4" hidden="1">#REF!</definedName>
    <definedName name="SD_1x1_23x1_5_S_0" localSheetId="15" hidden="1">#REF!</definedName>
    <definedName name="SD_1x1_23x1_5_S_0" localSheetId="14" hidden="1">#REF!</definedName>
    <definedName name="SD_1x1_23x1_5_S_0" localSheetId="3" hidden="1">#REF!</definedName>
    <definedName name="SD_1x1_23x1_5_S_0" localSheetId="12" hidden="1">#REF!</definedName>
    <definedName name="SD_1x1_23x1_5_S_0" localSheetId="11" hidden="1">#REF!</definedName>
    <definedName name="SD_1x1_23x1_5_S_0" localSheetId="6" hidden="1">#REF!</definedName>
    <definedName name="SD_1x1_23x1_5_S_0" localSheetId="8" hidden="1">#REF!</definedName>
    <definedName name="SD_1x1_23x1_5_S_0" localSheetId="13" hidden="1">#REF!</definedName>
    <definedName name="SD_1x1_23x1_5_S_0" localSheetId="9" hidden="1">#REF!</definedName>
    <definedName name="SD_1x1_23x1_5_S_0" localSheetId="17" hidden="1">#REF!</definedName>
    <definedName name="SD_1x1_23x1_5_S_0" hidden="1">#REF!</definedName>
    <definedName name="SD_1x1_23x1_6_S_152" localSheetId="4" hidden="1">#REF!</definedName>
    <definedName name="SD_1x1_23x1_6_S_152" localSheetId="15" hidden="1">#REF!</definedName>
    <definedName name="SD_1x1_23x1_6_S_152" localSheetId="14" hidden="1">#REF!</definedName>
    <definedName name="SD_1x1_23x1_6_S_152" localSheetId="3" hidden="1">#REF!</definedName>
    <definedName name="SD_1x1_23x1_6_S_152" localSheetId="12" hidden="1">#REF!</definedName>
    <definedName name="SD_1x1_23x1_6_S_152" localSheetId="11" hidden="1">#REF!</definedName>
    <definedName name="SD_1x1_23x1_6_S_152" localSheetId="6" hidden="1">#REF!</definedName>
    <definedName name="SD_1x1_23x1_6_S_152" localSheetId="8" hidden="1">#REF!</definedName>
    <definedName name="SD_1x1_23x1_6_S_152" localSheetId="13" hidden="1">#REF!</definedName>
    <definedName name="SD_1x1_23x1_6_S_152" localSheetId="9" hidden="1">#REF!</definedName>
    <definedName name="SD_1x1_23x1_6_S_152" localSheetId="17" hidden="1">#REF!</definedName>
    <definedName name="SD_1x1_23x1_6_S_152" hidden="1">#REF!</definedName>
    <definedName name="SD_1x1_23x1_7_S_0" localSheetId="4" hidden="1">#REF!</definedName>
    <definedName name="SD_1x1_23x1_7_S_0" localSheetId="15" hidden="1">#REF!</definedName>
    <definedName name="SD_1x1_23x1_7_S_0" localSheetId="14" hidden="1">#REF!</definedName>
    <definedName name="SD_1x1_23x1_7_S_0" localSheetId="3" hidden="1">#REF!</definedName>
    <definedName name="SD_1x1_23x1_7_S_0" localSheetId="12" hidden="1">#REF!</definedName>
    <definedName name="SD_1x1_23x1_7_S_0" localSheetId="11" hidden="1">#REF!</definedName>
    <definedName name="SD_1x1_23x1_7_S_0" localSheetId="6" hidden="1">#REF!</definedName>
    <definedName name="SD_1x1_23x1_7_S_0" localSheetId="8" hidden="1">#REF!</definedName>
    <definedName name="SD_1x1_23x1_7_S_0" localSheetId="13" hidden="1">#REF!</definedName>
    <definedName name="SD_1x1_23x1_7_S_0" localSheetId="9" hidden="1">#REF!</definedName>
    <definedName name="SD_1x1_23x1_7_S_0" localSheetId="17" hidden="1">#REF!</definedName>
    <definedName name="SD_1x1_23x1_7_S_0" hidden="1">#REF!</definedName>
    <definedName name="SD_1x1_23x1_9_S_0" localSheetId="4" hidden="1">#REF!</definedName>
    <definedName name="SD_1x1_23x1_9_S_0" localSheetId="15" hidden="1">#REF!</definedName>
    <definedName name="SD_1x1_23x1_9_S_0" localSheetId="14" hidden="1">#REF!</definedName>
    <definedName name="SD_1x1_23x1_9_S_0" localSheetId="3" hidden="1">#REF!</definedName>
    <definedName name="SD_1x1_23x1_9_S_0" localSheetId="12" hidden="1">#REF!</definedName>
    <definedName name="SD_1x1_23x1_9_S_0" localSheetId="11" hidden="1">#REF!</definedName>
    <definedName name="SD_1x1_23x1_9_S_0" localSheetId="6" hidden="1">#REF!</definedName>
    <definedName name="SD_1x1_23x1_9_S_0" localSheetId="8" hidden="1">#REF!</definedName>
    <definedName name="SD_1x1_23x1_9_S_0" localSheetId="13" hidden="1">#REF!</definedName>
    <definedName name="SD_1x1_23x1_9_S_0" localSheetId="9" hidden="1">#REF!</definedName>
    <definedName name="SD_1x1_23x1_9_S_0" localSheetId="17" hidden="1">#REF!</definedName>
    <definedName name="SD_1x1_23x1_9_S_0" hidden="1">#REF!</definedName>
    <definedName name="SD_1x1_23x2_1_S_0" localSheetId="4" hidden="1">#REF!</definedName>
    <definedName name="SD_1x1_23x2_1_S_0" localSheetId="15" hidden="1">#REF!</definedName>
    <definedName name="SD_1x1_23x2_1_S_0" localSheetId="14" hidden="1">#REF!</definedName>
    <definedName name="SD_1x1_23x2_1_S_0" localSheetId="3" hidden="1">#REF!</definedName>
    <definedName name="SD_1x1_23x2_1_S_0" localSheetId="12" hidden="1">#REF!</definedName>
    <definedName name="SD_1x1_23x2_1_S_0" localSheetId="11" hidden="1">#REF!</definedName>
    <definedName name="SD_1x1_23x2_1_S_0" localSheetId="6" hidden="1">#REF!</definedName>
    <definedName name="SD_1x1_23x2_1_S_0" localSheetId="8" hidden="1">#REF!</definedName>
    <definedName name="SD_1x1_23x2_1_S_0" localSheetId="13" hidden="1">#REF!</definedName>
    <definedName name="SD_1x1_23x2_1_S_0" localSheetId="9" hidden="1">#REF!</definedName>
    <definedName name="SD_1x1_23x2_1_S_0" localSheetId="17" hidden="1">#REF!</definedName>
    <definedName name="SD_1x1_23x2_1_S_0" hidden="1">#REF!</definedName>
    <definedName name="SD_1x1_23x2_11_S_0" localSheetId="4" hidden="1">#REF!</definedName>
    <definedName name="SD_1x1_23x2_11_S_0" localSheetId="15" hidden="1">#REF!</definedName>
    <definedName name="SD_1x1_23x2_11_S_0" localSheetId="14" hidden="1">#REF!</definedName>
    <definedName name="SD_1x1_23x2_11_S_0" localSheetId="3" hidden="1">#REF!</definedName>
    <definedName name="SD_1x1_23x2_11_S_0" localSheetId="12" hidden="1">#REF!</definedName>
    <definedName name="SD_1x1_23x2_11_S_0" localSheetId="11" hidden="1">#REF!</definedName>
    <definedName name="SD_1x1_23x2_11_S_0" localSheetId="6" hidden="1">#REF!</definedName>
    <definedName name="SD_1x1_23x2_11_S_0" localSheetId="8" hidden="1">#REF!</definedName>
    <definedName name="SD_1x1_23x2_11_S_0" localSheetId="13" hidden="1">#REF!</definedName>
    <definedName name="SD_1x1_23x2_11_S_0" localSheetId="9" hidden="1">#REF!</definedName>
    <definedName name="SD_1x1_23x2_11_S_0" localSheetId="17" hidden="1">#REF!</definedName>
    <definedName name="SD_1x1_23x2_11_S_0" hidden="1">#REF!</definedName>
    <definedName name="SD_1x1_23x2_12_S_0" localSheetId="4" hidden="1">#REF!</definedName>
    <definedName name="SD_1x1_23x2_12_S_0" localSheetId="15" hidden="1">#REF!</definedName>
    <definedName name="SD_1x1_23x2_12_S_0" localSheetId="14" hidden="1">#REF!</definedName>
    <definedName name="SD_1x1_23x2_12_S_0" localSheetId="3" hidden="1">#REF!</definedName>
    <definedName name="SD_1x1_23x2_12_S_0" localSheetId="12" hidden="1">#REF!</definedName>
    <definedName name="SD_1x1_23x2_12_S_0" localSheetId="11" hidden="1">#REF!</definedName>
    <definedName name="SD_1x1_23x2_12_S_0" localSheetId="6" hidden="1">#REF!</definedName>
    <definedName name="SD_1x1_23x2_12_S_0" localSheetId="8" hidden="1">#REF!</definedName>
    <definedName name="SD_1x1_23x2_12_S_0" localSheetId="13" hidden="1">#REF!</definedName>
    <definedName name="SD_1x1_23x2_12_S_0" localSheetId="9" hidden="1">#REF!</definedName>
    <definedName name="SD_1x1_23x2_12_S_0" localSheetId="17" hidden="1">#REF!</definedName>
    <definedName name="SD_1x1_23x2_12_S_0" hidden="1">#REF!</definedName>
    <definedName name="SD_1x1_23x2_3_S_0" localSheetId="4" hidden="1">#REF!</definedName>
    <definedName name="SD_1x1_23x2_3_S_0" localSheetId="15" hidden="1">#REF!</definedName>
    <definedName name="SD_1x1_23x2_3_S_0" localSheetId="14" hidden="1">#REF!</definedName>
    <definedName name="SD_1x1_23x2_3_S_0" localSheetId="3" hidden="1">#REF!</definedName>
    <definedName name="SD_1x1_23x2_3_S_0" localSheetId="12" hidden="1">#REF!</definedName>
    <definedName name="SD_1x1_23x2_3_S_0" localSheetId="11" hidden="1">#REF!</definedName>
    <definedName name="SD_1x1_23x2_3_S_0" localSheetId="6" hidden="1">#REF!</definedName>
    <definedName name="SD_1x1_23x2_3_S_0" localSheetId="8" hidden="1">#REF!</definedName>
    <definedName name="SD_1x1_23x2_3_S_0" localSheetId="13" hidden="1">#REF!</definedName>
    <definedName name="SD_1x1_23x2_3_S_0" localSheetId="9" hidden="1">#REF!</definedName>
    <definedName name="SD_1x1_23x2_3_S_0" localSheetId="17" hidden="1">#REF!</definedName>
    <definedName name="SD_1x1_23x2_3_S_0" hidden="1">#REF!</definedName>
    <definedName name="SD_1x1_23x2_5_S_0" localSheetId="4" hidden="1">#REF!</definedName>
    <definedName name="SD_1x1_23x2_5_S_0" localSheetId="15" hidden="1">#REF!</definedName>
    <definedName name="SD_1x1_23x2_5_S_0" localSheetId="14" hidden="1">#REF!</definedName>
    <definedName name="SD_1x1_23x2_5_S_0" localSheetId="3" hidden="1">#REF!</definedName>
    <definedName name="SD_1x1_23x2_5_S_0" localSheetId="12" hidden="1">#REF!</definedName>
    <definedName name="SD_1x1_23x2_5_S_0" localSheetId="11" hidden="1">#REF!</definedName>
    <definedName name="SD_1x1_23x2_5_S_0" localSheetId="6" hidden="1">#REF!</definedName>
    <definedName name="SD_1x1_23x2_5_S_0" localSheetId="8" hidden="1">#REF!</definedName>
    <definedName name="SD_1x1_23x2_5_S_0" localSheetId="13" hidden="1">#REF!</definedName>
    <definedName name="SD_1x1_23x2_5_S_0" localSheetId="9" hidden="1">#REF!</definedName>
    <definedName name="SD_1x1_23x2_5_S_0" localSheetId="17" hidden="1">#REF!</definedName>
    <definedName name="SD_1x1_23x2_5_S_0" hidden="1">#REF!</definedName>
    <definedName name="SD_1x1_23x2_6_S_152" localSheetId="4" hidden="1">#REF!</definedName>
    <definedName name="SD_1x1_23x2_6_S_152" localSheetId="15" hidden="1">#REF!</definedName>
    <definedName name="SD_1x1_23x2_6_S_152" localSheetId="14" hidden="1">#REF!</definedName>
    <definedName name="SD_1x1_23x2_6_S_152" localSheetId="3" hidden="1">#REF!</definedName>
    <definedName name="SD_1x1_23x2_6_S_152" localSheetId="12" hidden="1">#REF!</definedName>
    <definedName name="SD_1x1_23x2_6_S_152" localSheetId="11" hidden="1">#REF!</definedName>
    <definedName name="SD_1x1_23x2_6_S_152" localSheetId="6" hidden="1">#REF!</definedName>
    <definedName name="SD_1x1_23x2_6_S_152" localSheetId="8" hidden="1">#REF!</definedName>
    <definedName name="SD_1x1_23x2_6_S_152" localSheetId="13" hidden="1">#REF!</definedName>
    <definedName name="SD_1x1_23x2_6_S_152" localSheetId="9" hidden="1">#REF!</definedName>
    <definedName name="SD_1x1_23x2_6_S_152" localSheetId="17" hidden="1">#REF!</definedName>
    <definedName name="SD_1x1_23x2_6_S_152" hidden="1">#REF!</definedName>
    <definedName name="SD_1x1_23x2_7_S_0" localSheetId="4" hidden="1">#REF!</definedName>
    <definedName name="SD_1x1_23x2_7_S_0" localSheetId="15" hidden="1">#REF!</definedName>
    <definedName name="SD_1x1_23x2_7_S_0" localSheetId="14" hidden="1">#REF!</definedName>
    <definedName name="SD_1x1_23x2_7_S_0" localSheetId="3" hidden="1">#REF!</definedName>
    <definedName name="SD_1x1_23x2_7_S_0" localSheetId="12" hidden="1">#REF!</definedName>
    <definedName name="SD_1x1_23x2_7_S_0" localSheetId="11" hidden="1">#REF!</definedName>
    <definedName name="SD_1x1_23x2_7_S_0" localSheetId="6" hidden="1">#REF!</definedName>
    <definedName name="SD_1x1_23x2_7_S_0" localSheetId="8" hidden="1">#REF!</definedName>
    <definedName name="SD_1x1_23x2_7_S_0" localSheetId="13" hidden="1">#REF!</definedName>
    <definedName name="SD_1x1_23x2_7_S_0" localSheetId="9" hidden="1">#REF!</definedName>
    <definedName name="SD_1x1_23x2_7_S_0" localSheetId="17" hidden="1">#REF!</definedName>
    <definedName name="SD_1x1_23x2_7_S_0" hidden="1">#REF!</definedName>
    <definedName name="SD_1x1_23x2_9_S_0" localSheetId="4" hidden="1">#REF!</definedName>
    <definedName name="SD_1x1_23x2_9_S_0" localSheetId="15" hidden="1">#REF!</definedName>
    <definedName name="SD_1x1_23x2_9_S_0" localSheetId="14" hidden="1">#REF!</definedName>
    <definedName name="SD_1x1_23x2_9_S_0" localSheetId="3" hidden="1">#REF!</definedName>
    <definedName name="SD_1x1_23x2_9_S_0" localSheetId="12" hidden="1">#REF!</definedName>
    <definedName name="SD_1x1_23x2_9_S_0" localSheetId="11" hidden="1">#REF!</definedName>
    <definedName name="SD_1x1_23x2_9_S_0" localSheetId="6" hidden="1">#REF!</definedName>
    <definedName name="SD_1x1_23x2_9_S_0" localSheetId="8" hidden="1">#REF!</definedName>
    <definedName name="SD_1x1_23x2_9_S_0" localSheetId="13" hidden="1">#REF!</definedName>
    <definedName name="SD_1x1_23x2_9_S_0" localSheetId="9" hidden="1">#REF!</definedName>
    <definedName name="SD_1x1_23x2_9_S_0" localSheetId="17" hidden="1">#REF!</definedName>
    <definedName name="SD_1x1_23x2_9_S_0" hidden="1">#REF!</definedName>
    <definedName name="SD_1x1_23x3_1_S_0" localSheetId="4" hidden="1">#REF!</definedName>
    <definedName name="SD_1x1_23x3_1_S_0" localSheetId="15" hidden="1">#REF!</definedName>
    <definedName name="SD_1x1_23x3_1_S_0" localSheetId="14" hidden="1">#REF!</definedName>
    <definedName name="SD_1x1_23x3_1_S_0" localSheetId="3" hidden="1">#REF!</definedName>
    <definedName name="SD_1x1_23x3_1_S_0" localSheetId="12" hidden="1">#REF!</definedName>
    <definedName name="SD_1x1_23x3_1_S_0" localSheetId="11" hidden="1">#REF!</definedName>
    <definedName name="SD_1x1_23x3_1_S_0" localSheetId="6" hidden="1">#REF!</definedName>
    <definedName name="SD_1x1_23x3_1_S_0" localSheetId="8" hidden="1">#REF!</definedName>
    <definedName name="SD_1x1_23x3_1_S_0" localSheetId="13" hidden="1">#REF!</definedName>
    <definedName name="SD_1x1_23x3_1_S_0" localSheetId="9" hidden="1">#REF!</definedName>
    <definedName name="SD_1x1_23x3_1_S_0" localSheetId="17" hidden="1">#REF!</definedName>
    <definedName name="SD_1x1_23x3_1_S_0" hidden="1">#REF!</definedName>
    <definedName name="SD_1x1_23x3_11_S_0" localSheetId="4" hidden="1">#REF!</definedName>
    <definedName name="SD_1x1_23x3_11_S_0" localSheetId="15" hidden="1">#REF!</definedName>
    <definedName name="SD_1x1_23x3_11_S_0" localSheetId="14" hidden="1">#REF!</definedName>
    <definedName name="SD_1x1_23x3_11_S_0" localSheetId="3" hidden="1">#REF!</definedName>
    <definedName name="SD_1x1_23x3_11_S_0" localSheetId="12" hidden="1">#REF!</definedName>
    <definedName name="SD_1x1_23x3_11_S_0" localSheetId="11" hidden="1">#REF!</definedName>
    <definedName name="SD_1x1_23x3_11_S_0" localSheetId="6" hidden="1">#REF!</definedName>
    <definedName name="SD_1x1_23x3_11_S_0" localSheetId="8" hidden="1">#REF!</definedName>
    <definedName name="SD_1x1_23x3_11_S_0" localSheetId="13" hidden="1">#REF!</definedName>
    <definedName name="SD_1x1_23x3_11_S_0" localSheetId="9" hidden="1">#REF!</definedName>
    <definedName name="SD_1x1_23x3_11_S_0" localSheetId="17" hidden="1">#REF!</definedName>
    <definedName name="SD_1x1_23x3_11_S_0" hidden="1">#REF!</definedName>
    <definedName name="SD_1x1_23x3_12_S_0" localSheetId="4" hidden="1">#REF!</definedName>
    <definedName name="SD_1x1_23x3_12_S_0" localSheetId="15" hidden="1">#REF!</definedName>
    <definedName name="SD_1x1_23x3_12_S_0" localSheetId="14" hidden="1">#REF!</definedName>
    <definedName name="SD_1x1_23x3_12_S_0" localSheetId="3" hidden="1">#REF!</definedName>
    <definedName name="SD_1x1_23x3_12_S_0" localSheetId="12" hidden="1">#REF!</definedName>
    <definedName name="SD_1x1_23x3_12_S_0" localSheetId="11" hidden="1">#REF!</definedName>
    <definedName name="SD_1x1_23x3_12_S_0" localSheetId="6" hidden="1">#REF!</definedName>
    <definedName name="SD_1x1_23x3_12_S_0" localSheetId="8" hidden="1">#REF!</definedName>
    <definedName name="SD_1x1_23x3_12_S_0" localSheetId="13" hidden="1">#REF!</definedName>
    <definedName name="SD_1x1_23x3_12_S_0" localSheetId="9" hidden="1">#REF!</definedName>
    <definedName name="SD_1x1_23x3_12_S_0" localSheetId="17" hidden="1">#REF!</definedName>
    <definedName name="SD_1x1_23x3_12_S_0" hidden="1">#REF!</definedName>
    <definedName name="SD_1x1_23x3_3_S_0" localSheetId="4" hidden="1">#REF!</definedName>
    <definedName name="SD_1x1_23x3_3_S_0" localSheetId="15" hidden="1">#REF!</definedName>
    <definedName name="SD_1x1_23x3_3_S_0" localSheetId="14" hidden="1">#REF!</definedName>
    <definedName name="SD_1x1_23x3_3_S_0" localSheetId="3" hidden="1">#REF!</definedName>
    <definedName name="SD_1x1_23x3_3_S_0" localSheetId="12" hidden="1">#REF!</definedName>
    <definedName name="SD_1x1_23x3_3_S_0" localSheetId="11" hidden="1">#REF!</definedName>
    <definedName name="SD_1x1_23x3_3_S_0" localSheetId="6" hidden="1">#REF!</definedName>
    <definedName name="SD_1x1_23x3_3_S_0" localSheetId="8" hidden="1">#REF!</definedName>
    <definedName name="SD_1x1_23x3_3_S_0" localSheetId="13" hidden="1">#REF!</definedName>
    <definedName name="SD_1x1_23x3_3_S_0" localSheetId="9" hidden="1">#REF!</definedName>
    <definedName name="SD_1x1_23x3_3_S_0" localSheetId="17" hidden="1">#REF!</definedName>
    <definedName name="SD_1x1_23x3_3_S_0" hidden="1">#REF!</definedName>
    <definedName name="SD_1x1_23x3_5_S_0" localSheetId="4" hidden="1">#REF!</definedName>
    <definedName name="SD_1x1_23x3_5_S_0" localSheetId="15" hidden="1">#REF!</definedName>
    <definedName name="SD_1x1_23x3_5_S_0" localSheetId="14" hidden="1">#REF!</definedName>
    <definedName name="SD_1x1_23x3_5_S_0" localSheetId="3" hidden="1">#REF!</definedName>
    <definedName name="SD_1x1_23x3_5_S_0" localSheetId="12" hidden="1">#REF!</definedName>
    <definedName name="SD_1x1_23x3_5_S_0" localSheetId="11" hidden="1">#REF!</definedName>
    <definedName name="SD_1x1_23x3_5_S_0" localSheetId="6" hidden="1">#REF!</definedName>
    <definedName name="SD_1x1_23x3_5_S_0" localSheetId="8" hidden="1">#REF!</definedName>
    <definedName name="SD_1x1_23x3_5_S_0" localSheetId="13" hidden="1">#REF!</definedName>
    <definedName name="SD_1x1_23x3_5_S_0" localSheetId="9" hidden="1">#REF!</definedName>
    <definedName name="SD_1x1_23x3_5_S_0" localSheetId="17" hidden="1">#REF!</definedName>
    <definedName name="SD_1x1_23x3_5_S_0" hidden="1">#REF!</definedName>
    <definedName name="SD_1x1_23x3_6_S_152" localSheetId="4" hidden="1">#REF!</definedName>
    <definedName name="SD_1x1_23x3_6_S_152" localSheetId="15" hidden="1">#REF!</definedName>
    <definedName name="SD_1x1_23x3_6_S_152" localSheetId="14" hidden="1">#REF!</definedName>
    <definedName name="SD_1x1_23x3_6_S_152" localSheetId="3" hidden="1">#REF!</definedName>
    <definedName name="SD_1x1_23x3_6_S_152" localSheetId="12" hidden="1">#REF!</definedName>
    <definedName name="SD_1x1_23x3_6_S_152" localSheetId="11" hidden="1">#REF!</definedName>
    <definedName name="SD_1x1_23x3_6_S_152" localSheetId="6" hidden="1">#REF!</definedName>
    <definedName name="SD_1x1_23x3_6_S_152" localSheetId="8" hidden="1">#REF!</definedName>
    <definedName name="SD_1x1_23x3_6_S_152" localSheetId="13" hidden="1">#REF!</definedName>
    <definedName name="SD_1x1_23x3_6_S_152" localSheetId="9" hidden="1">#REF!</definedName>
    <definedName name="SD_1x1_23x3_6_S_152" localSheetId="17" hidden="1">#REF!</definedName>
    <definedName name="SD_1x1_23x3_6_S_152" hidden="1">#REF!</definedName>
    <definedName name="SD_1x1_23x3_7_S_0" localSheetId="4" hidden="1">#REF!</definedName>
    <definedName name="SD_1x1_23x3_7_S_0" localSheetId="15" hidden="1">#REF!</definedName>
    <definedName name="SD_1x1_23x3_7_S_0" localSheetId="14" hidden="1">#REF!</definedName>
    <definedName name="SD_1x1_23x3_7_S_0" localSheetId="3" hidden="1">#REF!</definedName>
    <definedName name="SD_1x1_23x3_7_S_0" localSheetId="12" hidden="1">#REF!</definedName>
    <definedName name="SD_1x1_23x3_7_S_0" localSheetId="11" hidden="1">#REF!</definedName>
    <definedName name="SD_1x1_23x3_7_S_0" localSheetId="6" hidden="1">#REF!</definedName>
    <definedName name="SD_1x1_23x3_7_S_0" localSheetId="8" hidden="1">#REF!</definedName>
    <definedName name="SD_1x1_23x3_7_S_0" localSheetId="13" hidden="1">#REF!</definedName>
    <definedName name="SD_1x1_23x3_7_S_0" localSheetId="9" hidden="1">#REF!</definedName>
    <definedName name="SD_1x1_23x3_7_S_0" localSheetId="17" hidden="1">#REF!</definedName>
    <definedName name="SD_1x1_23x3_7_S_0" hidden="1">#REF!</definedName>
    <definedName name="SD_1x1_23x3_9_S_0" localSheetId="4" hidden="1">#REF!</definedName>
    <definedName name="SD_1x1_23x3_9_S_0" localSheetId="15" hidden="1">#REF!</definedName>
    <definedName name="SD_1x1_23x3_9_S_0" localSheetId="14" hidden="1">#REF!</definedName>
    <definedName name="SD_1x1_23x3_9_S_0" localSheetId="3" hidden="1">#REF!</definedName>
    <definedName name="SD_1x1_23x3_9_S_0" localSheetId="12" hidden="1">#REF!</definedName>
    <definedName name="SD_1x1_23x3_9_S_0" localSheetId="11" hidden="1">#REF!</definedName>
    <definedName name="SD_1x1_23x3_9_S_0" localSheetId="6" hidden="1">#REF!</definedName>
    <definedName name="SD_1x1_23x3_9_S_0" localSheetId="8" hidden="1">#REF!</definedName>
    <definedName name="SD_1x1_23x3_9_S_0" localSheetId="13" hidden="1">#REF!</definedName>
    <definedName name="SD_1x1_23x3_9_S_0" localSheetId="9" hidden="1">#REF!</definedName>
    <definedName name="SD_1x1_23x3_9_S_0" localSheetId="17" hidden="1">#REF!</definedName>
    <definedName name="SD_1x1_23x3_9_S_0" hidden="1">#REF!</definedName>
    <definedName name="SD_1x1_28_S_0" localSheetId="4" hidden="1">#REF!</definedName>
    <definedName name="SD_1x1_28_S_0" localSheetId="14" hidden="1">#REF!</definedName>
    <definedName name="SD_1x1_28_S_0" localSheetId="3" hidden="1">#REF!</definedName>
    <definedName name="SD_1x1_28_S_0" localSheetId="12" hidden="1">#REF!</definedName>
    <definedName name="SD_1x1_28_S_0" localSheetId="11" hidden="1">#REF!</definedName>
    <definedName name="SD_1x1_28_S_0" localSheetId="8" hidden="1">#REF!</definedName>
    <definedName name="SD_1x1_28_S_0" localSheetId="13" hidden="1">#REF!</definedName>
    <definedName name="SD_1x1_28_S_0" localSheetId="9" hidden="1">#REF!</definedName>
    <definedName name="SD_1x1_28_S_0" localSheetId="17" hidden="1">#REF!</definedName>
    <definedName name="SD_1x1_28_S_0" hidden="1">#REF!</definedName>
    <definedName name="SD_1x1_29x1_1_S_0" localSheetId="4" hidden="1">#REF!</definedName>
    <definedName name="SD_1x1_29x1_1_S_0" localSheetId="15" hidden="1">#REF!</definedName>
    <definedName name="SD_1x1_29x1_1_S_0" localSheetId="14" hidden="1">#REF!</definedName>
    <definedName name="SD_1x1_29x1_1_S_0" localSheetId="3" hidden="1">#REF!</definedName>
    <definedName name="SD_1x1_29x1_1_S_0" localSheetId="12" hidden="1">#REF!</definedName>
    <definedName name="SD_1x1_29x1_1_S_0" localSheetId="11" hidden="1">#REF!</definedName>
    <definedName name="SD_1x1_29x1_1_S_0" localSheetId="6" hidden="1">#REF!</definedName>
    <definedName name="SD_1x1_29x1_1_S_0" localSheetId="8" hidden="1">#REF!</definedName>
    <definedName name="SD_1x1_29x1_1_S_0" localSheetId="13" hidden="1">#REF!</definedName>
    <definedName name="SD_1x1_29x1_1_S_0" localSheetId="9" hidden="1">#REF!</definedName>
    <definedName name="SD_1x1_29x1_1_S_0" localSheetId="17" hidden="1">#REF!</definedName>
    <definedName name="SD_1x1_29x1_1_S_0" hidden="1">#REF!</definedName>
    <definedName name="SD_1x1_29x1_11_S_0" localSheetId="4" hidden="1">#REF!</definedName>
    <definedName name="SD_1x1_29x1_11_S_0" localSheetId="15" hidden="1">#REF!</definedName>
    <definedName name="SD_1x1_29x1_11_S_0" localSheetId="14" hidden="1">#REF!</definedName>
    <definedName name="SD_1x1_29x1_11_S_0" localSheetId="3" hidden="1">#REF!</definedName>
    <definedName name="SD_1x1_29x1_11_S_0" localSheetId="12" hidden="1">#REF!</definedName>
    <definedName name="SD_1x1_29x1_11_S_0" localSheetId="11" hidden="1">#REF!</definedName>
    <definedName name="SD_1x1_29x1_11_S_0" localSheetId="6" hidden="1">#REF!</definedName>
    <definedName name="SD_1x1_29x1_11_S_0" localSheetId="8" hidden="1">#REF!</definedName>
    <definedName name="SD_1x1_29x1_11_S_0" localSheetId="13" hidden="1">#REF!</definedName>
    <definedName name="SD_1x1_29x1_11_S_0" localSheetId="9" hidden="1">#REF!</definedName>
    <definedName name="SD_1x1_29x1_11_S_0" localSheetId="17" hidden="1">#REF!</definedName>
    <definedName name="SD_1x1_29x1_11_S_0" hidden="1">#REF!</definedName>
    <definedName name="SD_1x1_29x1_12_S_0" localSheetId="4" hidden="1">#REF!</definedName>
    <definedName name="SD_1x1_29x1_12_S_0" localSheetId="15" hidden="1">#REF!</definedName>
    <definedName name="SD_1x1_29x1_12_S_0" localSheetId="14" hidden="1">#REF!</definedName>
    <definedName name="SD_1x1_29x1_12_S_0" localSheetId="3" hidden="1">#REF!</definedName>
    <definedName name="SD_1x1_29x1_12_S_0" localSheetId="12" hidden="1">#REF!</definedName>
    <definedName name="SD_1x1_29x1_12_S_0" localSheetId="11" hidden="1">#REF!</definedName>
    <definedName name="SD_1x1_29x1_12_S_0" localSheetId="6" hidden="1">#REF!</definedName>
    <definedName name="SD_1x1_29x1_12_S_0" localSheetId="8" hidden="1">#REF!</definedName>
    <definedName name="SD_1x1_29x1_12_S_0" localSheetId="13" hidden="1">#REF!</definedName>
    <definedName name="SD_1x1_29x1_12_S_0" localSheetId="9" hidden="1">#REF!</definedName>
    <definedName name="SD_1x1_29x1_12_S_0" localSheetId="17" hidden="1">#REF!</definedName>
    <definedName name="SD_1x1_29x1_12_S_0" hidden="1">#REF!</definedName>
    <definedName name="SD_1x1_29x1_3_S_0" localSheetId="4" hidden="1">#REF!</definedName>
    <definedName name="SD_1x1_29x1_3_S_0" localSheetId="15" hidden="1">#REF!</definedName>
    <definedName name="SD_1x1_29x1_3_S_0" localSheetId="14" hidden="1">#REF!</definedName>
    <definedName name="SD_1x1_29x1_3_S_0" localSheetId="3" hidden="1">#REF!</definedName>
    <definedName name="SD_1x1_29x1_3_S_0" localSheetId="12" hidden="1">#REF!</definedName>
    <definedName name="SD_1x1_29x1_3_S_0" localSheetId="11" hidden="1">#REF!</definedName>
    <definedName name="SD_1x1_29x1_3_S_0" localSheetId="6" hidden="1">#REF!</definedName>
    <definedName name="SD_1x1_29x1_3_S_0" localSheetId="8" hidden="1">#REF!</definedName>
    <definedName name="SD_1x1_29x1_3_S_0" localSheetId="13" hidden="1">#REF!</definedName>
    <definedName name="SD_1x1_29x1_3_S_0" localSheetId="9" hidden="1">#REF!</definedName>
    <definedName name="SD_1x1_29x1_3_S_0" localSheetId="17" hidden="1">#REF!</definedName>
    <definedName name="SD_1x1_29x1_3_S_0" hidden="1">#REF!</definedName>
    <definedName name="SD_1x1_29x1_5_S_0" localSheetId="4" hidden="1">#REF!</definedName>
    <definedName name="SD_1x1_29x1_5_S_0" localSheetId="15" hidden="1">#REF!</definedName>
    <definedName name="SD_1x1_29x1_5_S_0" localSheetId="14" hidden="1">#REF!</definedName>
    <definedName name="SD_1x1_29x1_5_S_0" localSheetId="3" hidden="1">#REF!</definedName>
    <definedName name="SD_1x1_29x1_5_S_0" localSheetId="12" hidden="1">#REF!</definedName>
    <definedName name="SD_1x1_29x1_5_S_0" localSheetId="11" hidden="1">#REF!</definedName>
    <definedName name="SD_1x1_29x1_5_S_0" localSheetId="6" hidden="1">#REF!</definedName>
    <definedName name="SD_1x1_29x1_5_S_0" localSheetId="8" hidden="1">#REF!</definedName>
    <definedName name="SD_1x1_29x1_5_S_0" localSheetId="13" hidden="1">#REF!</definedName>
    <definedName name="SD_1x1_29x1_5_S_0" localSheetId="9" hidden="1">#REF!</definedName>
    <definedName name="SD_1x1_29x1_5_S_0" localSheetId="17" hidden="1">#REF!</definedName>
    <definedName name="SD_1x1_29x1_5_S_0" hidden="1">#REF!</definedName>
    <definedName name="SD_1x1_29x1_6_S_152" localSheetId="4" hidden="1">#REF!</definedName>
    <definedName name="SD_1x1_29x1_6_S_152" localSheetId="15" hidden="1">#REF!</definedName>
    <definedName name="SD_1x1_29x1_6_S_152" localSheetId="14" hidden="1">#REF!</definedName>
    <definedName name="SD_1x1_29x1_6_S_152" localSheetId="3" hidden="1">#REF!</definedName>
    <definedName name="SD_1x1_29x1_6_S_152" localSheetId="12" hidden="1">#REF!</definedName>
    <definedName name="SD_1x1_29x1_6_S_152" localSheetId="11" hidden="1">#REF!</definedName>
    <definedName name="SD_1x1_29x1_6_S_152" localSheetId="6" hidden="1">#REF!</definedName>
    <definedName name="SD_1x1_29x1_6_S_152" localSheetId="8" hidden="1">#REF!</definedName>
    <definedName name="SD_1x1_29x1_6_S_152" localSheetId="13" hidden="1">#REF!</definedName>
    <definedName name="SD_1x1_29x1_6_S_152" localSheetId="9" hidden="1">#REF!</definedName>
    <definedName name="SD_1x1_29x1_6_S_152" localSheetId="17" hidden="1">#REF!</definedName>
    <definedName name="SD_1x1_29x1_6_S_152" hidden="1">#REF!</definedName>
    <definedName name="SD_1x1_29x1_7_S_0" localSheetId="4" hidden="1">#REF!</definedName>
    <definedName name="SD_1x1_29x1_7_S_0" localSheetId="15" hidden="1">#REF!</definedName>
    <definedName name="SD_1x1_29x1_7_S_0" localSheetId="14" hidden="1">#REF!</definedName>
    <definedName name="SD_1x1_29x1_7_S_0" localSheetId="3" hidden="1">#REF!</definedName>
    <definedName name="SD_1x1_29x1_7_S_0" localSheetId="12" hidden="1">#REF!</definedName>
    <definedName name="SD_1x1_29x1_7_S_0" localSheetId="11" hidden="1">#REF!</definedName>
    <definedName name="SD_1x1_29x1_7_S_0" localSheetId="6" hidden="1">#REF!</definedName>
    <definedName name="SD_1x1_29x1_7_S_0" localSheetId="8" hidden="1">#REF!</definedName>
    <definedName name="SD_1x1_29x1_7_S_0" localSheetId="13" hidden="1">#REF!</definedName>
    <definedName name="SD_1x1_29x1_7_S_0" localSheetId="9" hidden="1">#REF!</definedName>
    <definedName name="SD_1x1_29x1_7_S_0" localSheetId="17" hidden="1">#REF!</definedName>
    <definedName name="SD_1x1_29x1_7_S_0" hidden="1">#REF!</definedName>
    <definedName name="SD_1x1_29x1_9_S_0" localSheetId="4" hidden="1">#REF!</definedName>
    <definedName name="SD_1x1_29x1_9_S_0" localSheetId="15" hidden="1">#REF!</definedName>
    <definedName name="SD_1x1_29x1_9_S_0" localSheetId="14" hidden="1">#REF!</definedName>
    <definedName name="SD_1x1_29x1_9_S_0" localSheetId="3" hidden="1">#REF!</definedName>
    <definedName name="SD_1x1_29x1_9_S_0" localSheetId="12" hidden="1">#REF!</definedName>
    <definedName name="SD_1x1_29x1_9_S_0" localSheetId="11" hidden="1">#REF!</definedName>
    <definedName name="SD_1x1_29x1_9_S_0" localSheetId="6" hidden="1">#REF!</definedName>
    <definedName name="SD_1x1_29x1_9_S_0" localSheetId="8" hidden="1">#REF!</definedName>
    <definedName name="SD_1x1_29x1_9_S_0" localSheetId="13" hidden="1">#REF!</definedName>
    <definedName name="SD_1x1_29x1_9_S_0" localSheetId="9" hidden="1">#REF!</definedName>
    <definedName name="SD_1x1_29x1_9_S_0" localSheetId="17" hidden="1">#REF!</definedName>
    <definedName name="SD_1x1_29x1_9_S_0" hidden="1">#REF!</definedName>
    <definedName name="SD_1x1_3_S_0" localSheetId="4" hidden="1">#REF!</definedName>
    <definedName name="SD_1x1_3_S_0" localSheetId="14" hidden="1">#REF!</definedName>
    <definedName name="SD_1x1_3_S_0" localSheetId="3" hidden="1">#REF!</definedName>
    <definedName name="SD_1x1_3_S_0" localSheetId="12" hidden="1">#REF!</definedName>
    <definedName name="SD_1x1_3_S_0" localSheetId="11" hidden="1">#REF!</definedName>
    <definedName name="SD_1x1_3_S_0" localSheetId="8" hidden="1">#REF!</definedName>
    <definedName name="SD_1x1_3_S_0" localSheetId="13" hidden="1">#REF!</definedName>
    <definedName name="SD_1x1_3_S_0" localSheetId="9" hidden="1">#REF!</definedName>
    <definedName name="SD_1x1_3_S_0" localSheetId="17" hidden="1">#REF!</definedName>
    <definedName name="SD_1x1_3_S_0" hidden="1">#REF!</definedName>
    <definedName name="SD_1x1_34_S_0" localSheetId="4" hidden="1">#REF!</definedName>
    <definedName name="SD_1x1_34_S_0" localSheetId="15" hidden="1">#REF!</definedName>
    <definedName name="SD_1x1_34_S_0" localSheetId="14" hidden="1">#REF!</definedName>
    <definedName name="SD_1x1_34_S_0" localSheetId="3" hidden="1">#REF!</definedName>
    <definedName name="SD_1x1_34_S_0" localSheetId="12" hidden="1">#REF!</definedName>
    <definedName name="SD_1x1_34_S_0" localSheetId="11" hidden="1">#REF!</definedName>
    <definedName name="SD_1x1_34_S_0" localSheetId="6" hidden="1">#REF!</definedName>
    <definedName name="SD_1x1_34_S_0" localSheetId="8" hidden="1">#REF!</definedName>
    <definedName name="SD_1x1_34_S_0" localSheetId="13" hidden="1">#REF!</definedName>
    <definedName name="SD_1x1_34_S_0" localSheetId="9" hidden="1">#REF!</definedName>
    <definedName name="SD_1x1_34_S_0" localSheetId="17" hidden="1">#REF!</definedName>
    <definedName name="SD_1x1_34_S_0" hidden="1">#REF!</definedName>
    <definedName name="SD_1x1_46x1_1_S_0" localSheetId="4" hidden="1">#REF!</definedName>
    <definedName name="SD_1x1_46x1_1_S_0" localSheetId="15" hidden="1">#REF!</definedName>
    <definedName name="SD_1x1_46x1_1_S_0" localSheetId="14" hidden="1">#REF!</definedName>
    <definedName name="SD_1x1_46x1_1_S_0" localSheetId="3" hidden="1">#REF!</definedName>
    <definedName name="SD_1x1_46x1_1_S_0" localSheetId="12" hidden="1">#REF!</definedName>
    <definedName name="SD_1x1_46x1_1_S_0" localSheetId="11" hidden="1">#REF!</definedName>
    <definedName name="SD_1x1_46x1_1_S_0" localSheetId="6" hidden="1">#REF!</definedName>
    <definedName name="SD_1x1_46x1_1_S_0" localSheetId="8" hidden="1">#REF!</definedName>
    <definedName name="SD_1x1_46x1_1_S_0" localSheetId="13" hidden="1">#REF!</definedName>
    <definedName name="SD_1x1_46x1_1_S_0" localSheetId="9" hidden="1">#REF!</definedName>
    <definedName name="SD_1x1_46x1_1_S_0" localSheetId="17" hidden="1">#REF!</definedName>
    <definedName name="SD_1x1_46x1_1_S_0" hidden="1">#REF!</definedName>
    <definedName name="SD_1x1_46x1_11_S_0" localSheetId="4" hidden="1">#REF!</definedName>
    <definedName name="SD_1x1_46x1_11_S_0" localSheetId="15" hidden="1">#REF!</definedName>
    <definedName name="SD_1x1_46x1_11_S_0" localSheetId="14" hidden="1">#REF!</definedName>
    <definedName name="SD_1x1_46x1_11_S_0" localSheetId="3" hidden="1">#REF!</definedName>
    <definedName name="SD_1x1_46x1_11_S_0" localSheetId="12" hidden="1">#REF!</definedName>
    <definedName name="SD_1x1_46x1_11_S_0" localSheetId="11" hidden="1">#REF!</definedName>
    <definedName name="SD_1x1_46x1_11_S_0" localSheetId="6" hidden="1">#REF!</definedName>
    <definedName name="SD_1x1_46x1_11_S_0" localSheetId="8" hidden="1">#REF!</definedName>
    <definedName name="SD_1x1_46x1_11_S_0" localSheetId="13" hidden="1">#REF!</definedName>
    <definedName name="SD_1x1_46x1_11_S_0" localSheetId="9" hidden="1">#REF!</definedName>
    <definedName name="SD_1x1_46x1_11_S_0" localSheetId="17" hidden="1">#REF!</definedName>
    <definedName name="SD_1x1_46x1_11_S_0" hidden="1">#REF!</definedName>
    <definedName name="SD_1x1_46x1_12_S_0" localSheetId="4" hidden="1">#REF!</definedName>
    <definedName name="SD_1x1_46x1_12_S_0" localSheetId="15" hidden="1">#REF!</definedName>
    <definedName name="SD_1x1_46x1_12_S_0" localSheetId="14" hidden="1">#REF!</definedName>
    <definedName name="SD_1x1_46x1_12_S_0" localSheetId="3" hidden="1">#REF!</definedName>
    <definedName name="SD_1x1_46x1_12_S_0" localSheetId="12" hidden="1">#REF!</definedName>
    <definedName name="SD_1x1_46x1_12_S_0" localSheetId="11" hidden="1">#REF!</definedName>
    <definedName name="SD_1x1_46x1_12_S_0" localSheetId="6" hidden="1">#REF!</definedName>
    <definedName name="SD_1x1_46x1_12_S_0" localSheetId="8" hidden="1">#REF!</definedName>
    <definedName name="SD_1x1_46x1_12_S_0" localSheetId="13" hidden="1">#REF!</definedName>
    <definedName name="SD_1x1_46x1_12_S_0" localSheetId="9" hidden="1">#REF!</definedName>
    <definedName name="SD_1x1_46x1_12_S_0" localSheetId="17" hidden="1">#REF!</definedName>
    <definedName name="SD_1x1_46x1_12_S_0" hidden="1">#REF!</definedName>
    <definedName name="SD_1x1_46x1_3_S_0" localSheetId="4" hidden="1">#REF!</definedName>
    <definedName name="SD_1x1_46x1_3_S_0" localSheetId="15" hidden="1">#REF!</definedName>
    <definedName name="SD_1x1_46x1_3_S_0" localSheetId="14" hidden="1">#REF!</definedName>
    <definedName name="SD_1x1_46x1_3_S_0" localSheetId="3" hidden="1">#REF!</definedName>
    <definedName name="SD_1x1_46x1_3_S_0" localSheetId="12" hidden="1">#REF!</definedName>
    <definedName name="SD_1x1_46x1_3_S_0" localSheetId="11" hidden="1">#REF!</definedName>
    <definedName name="SD_1x1_46x1_3_S_0" localSheetId="6" hidden="1">#REF!</definedName>
    <definedName name="SD_1x1_46x1_3_S_0" localSheetId="8" hidden="1">#REF!</definedName>
    <definedName name="SD_1x1_46x1_3_S_0" localSheetId="13" hidden="1">#REF!</definedName>
    <definedName name="SD_1x1_46x1_3_S_0" localSheetId="9" hidden="1">#REF!</definedName>
    <definedName name="SD_1x1_46x1_3_S_0" localSheetId="17" hidden="1">#REF!</definedName>
    <definedName name="SD_1x1_46x1_3_S_0" hidden="1">#REF!</definedName>
    <definedName name="SD_1x1_46x1_5_S_0" localSheetId="4" hidden="1">#REF!</definedName>
    <definedName name="SD_1x1_46x1_5_S_0" localSheetId="15" hidden="1">#REF!</definedName>
    <definedName name="SD_1x1_46x1_5_S_0" localSheetId="14" hidden="1">#REF!</definedName>
    <definedName name="SD_1x1_46x1_5_S_0" localSheetId="3" hidden="1">#REF!</definedName>
    <definedName name="SD_1x1_46x1_5_S_0" localSheetId="12" hidden="1">#REF!</definedName>
    <definedName name="SD_1x1_46x1_5_S_0" localSheetId="11" hidden="1">#REF!</definedName>
    <definedName name="SD_1x1_46x1_5_S_0" localSheetId="6" hidden="1">#REF!</definedName>
    <definedName name="SD_1x1_46x1_5_S_0" localSheetId="8" hidden="1">#REF!</definedName>
    <definedName name="SD_1x1_46x1_5_S_0" localSheetId="13" hidden="1">#REF!</definedName>
    <definedName name="SD_1x1_46x1_5_S_0" localSheetId="9" hidden="1">#REF!</definedName>
    <definedName name="SD_1x1_46x1_5_S_0" localSheetId="17" hidden="1">#REF!</definedName>
    <definedName name="SD_1x1_46x1_5_S_0" hidden="1">#REF!</definedName>
    <definedName name="SD_1x1_46x1_6_S_152" localSheetId="4" hidden="1">#REF!</definedName>
    <definedName name="SD_1x1_46x1_6_S_152" localSheetId="15" hidden="1">#REF!</definedName>
    <definedName name="SD_1x1_46x1_6_S_152" localSheetId="14" hidden="1">#REF!</definedName>
    <definedName name="SD_1x1_46x1_6_S_152" localSheetId="3" hidden="1">#REF!</definedName>
    <definedName name="SD_1x1_46x1_6_S_152" localSheetId="12" hidden="1">#REF!</definedName>
    <definedName name="SD_1x1_46x1_6_S_152" localSheetId="11" hidden="1">#REF!</definedName>
    <definedName name="SD_1x1_46x1_6_S_152" localSheetId="6" hidden="1">#REF!</definedName>
    <definedName name="SD_1x1_46x1_6_S_152" localSheetId="8" hidden="1">#REF!</definedName>
    <definedName name="SD_1x1_46x1_6_S_152" localSheetId="13" hidden="1">#REF!</definedName>
    <definedName name="SD_1x1_46x1_6_S_152" localSheetId="9" hidden="1">#REF!</definedName>
    <definedName name="SD_1x1_46x1_6_S_152" localSheetId="17" hidden="1">#REF!</definedName>
    <definedName name="SD_1x1_46x1_6_S_152" hidden="1">#REF!</definedName>
    <definedName name="SD_1x1_46x1_7_S_0" localSheetId="4" hidden="1">#REF!</definedName>
    <definedName name="SD_1x1_46x1_7_S_0" localSheetId="15" hidden="1">#REF!</definedName>
    <definedName name="SD_1x1_46x1_7_S_0" localSheetId="14" hidden="1">#REF!</definedName>
    <definedName name="SD_1x1_46x1_7_S_0" localSheetId="3" hidden="1">#REF!</definedName>
    <definedName name="SD_1x1_46x1_7_S_0" localSheetId="12" hidden="1">#REF!</definedName>
    <definedName name="SD_1x1_46x1_7_S_0" localSheetId="11" hidden="1">#REF!</definedName>
    <definedName name="SD_1x1_46x1_7_S_0" localSheetId="6" hidden="1">#REF!</definedName>
    <definedName name="SD_1x1_46x1_7_S_0" localSheetId="8" hidden="1">#REF!</definedName>
    <definedName name="SD_1x1_46x1_7_S_0" localSheetId="13" hidden="1">#REF!</definedName>
    <definedName name="SD_1x1_46x1_7_S_0" localSheetId="9" hidden="1">#REF!</definedName>
    <definedName name="SD_1x1_46x1_7_S_0" localSheetId="17" hidden="1">#REF!</definedName>
    <definedName name="SD_1x1_46x1_7_S_0" hidden="1">#REF!</definedName>
    <definedName name="SD_1x1_46x1_9_S_0" localSheetId="4" hidden="1">#REF!</definedName>
    <definedName name="SD_1x1_46x1_9_S_0" localSheetId="15" hidden="1">#REF!</definedName>
    <definedName name="SD_1x1_46x1_9_S_0" localSheetId="14" hidden="1">#REF!</definedName>
    <definedName name="SD_1x1_46x1_9_S_0" localSheetId="3" hidden="1">#REF!</definedName>
    <definedName name="SD_1x1_46x1_9_S_0" localSheetId="12" hidden="1">#REF!</definedName>
    <definedName name="SD_1x1_46x1_9_S_0" localSheetId="11" hidden="1">#REF!</definedName>
    <definedName name="SD_1x1_46x1_9_S_0" localSheetId="6" hidden="1">#REF!</definedName>
    <definedName name="SD_1x1_46x1_9_S_0" localSheetId="8" hidden="1">#REF!</definedName>
    <definedName name="SD_1x1_46x1_9_S_0" localSheetId="13" hidden="1">#REF!</definedName>
    <definedName name="SD_1x1_46x1_9_S_0" localSheetId="9" hidden="1">#REF!</definedName>
    <definedName name="SD_1x1_46x1_9_S_0" localSheetId="17" hidden="1">#REF!</definedName>
    <definedName name="SD_1x1_46x1_9_S_0" hidden="1">#REF!</definedName>
    <definedName name="SD_1x1_63x1_1_S_0" localSheetId="4" hidden="1">#REF!</definedName>
    <definedName name="SD_1x1_63x1_1_S_0" localSheetId="15" hidden="1">#REF!</definedName>
    <definedName name="SD_1x1_63x1_1_S_0" localSheetId="14" hidden="1">#REF!</definedName>
    <definedName name="SD_1x1_63x1_1_S_0" localSheetId="3" hidden="1">#REF!</definedName>
    <definedName name="SD_1x1_63x1_1_S_0" localSheetId="12" hidden="1">#REF!</definedName>
    <definedName name="SD_1x1_63x1_1_S_0" localSheetId="11" hidden="1">#REF!</definedName>
    <definedName name="SD_1x1_63x1_1_S_0" localSheetId="6" hidden="1">#REF!</definedName>
    <definedName name="SD_1x1_63x1_1_S_0" localSheetId="8" hidden="1">#REF!</definedName>
    <definedName name="SD_1x1_63x1_1_S_0" localSheetId="13" hidden="1">#REF!</definedName>
    <definedName name="SD_1x1_63x1_1_S_0" localSheetId="9" hidden="1">#REF!</definedName>
    <definedName name="SD_1x1_63x1_1_S_0" localSheetId="17" hidden="1">#REF!</definedName>
    <definedName name="SD_1x1_63x1_1_S_0" hidden="1">#REF!</definedName>
    <definedName name="SD_1x1_63x1_11_S_0" localSheetId="4" hidden="1">#REF!</definedName>
    <definedName name="SD_1x1_63x1_11_S_0" localSheetId="15" hidden="1">#REF!</definedName>
    <definedName name="SD_1x1_63x1_11_S_0" localSheetId="14" hidden="1">#REF!</definedName>
    <definedName name="SD_1x1_63x1_11_S_0" localSheetId="3" hidden="1">#REF!</definedName>
    <definedName name="SD_1x1_63x1_11_S_0" localSheetId="12" hidden="1">#REF!</definedName>
    <definedName name="SD_1x1_63x1_11_S_0" localSheetId="11" hidden="1">#REF!</definedName>
    <definedName name="SD_1x1_63x1_11_S_0" localSheetId="6" hidden="1">#REF!</definedName>
    <definedName name="SD_1x1_63x1_11_S_0" localSheetId="8" hidden="1">#REF!</definedName>
    <definedName name="SD_1x1_63x1_11_S_0" localSheetId="13" hidden="1">#REF!</definedName>
    <definedName name="SD_1x1_63x1_11_S_0" localSheetId="9" hidden="1">#REF!</definedName>
    <definedName name="SD_1x1_63x1_11_S_0" localSheetId="17" hidden="1">#REF!</definedName>
    <definedName name="SD_1x1_63x1_11_S_0" hidden="1">#REF!</definedName>
    <definedName name="SD_1x1_63x1_12_S_0" localSheetId="4" hidden="1">#REF!</definedName>
    <definedName name="SD_1x1_63x1_12_S_0" localSheetId="15" hidden="1">#REF!</definedName>
    <definedName name="SD_1x1_63x1_12_S_0" localSheetId="14" hidden="1">#REF!</definedName>
    <definedName name="SD_1x1_63x1_12_S_0" localSheetId="3" hidden="1">#REF!</definedName>
    <definedName name="SD_1x1_63x1_12_S_0" localSheetId="12" hidden="1">#REF!</definedName>
    <definedName name="SD_1x1_63x1_12_S_0" localSheetId="11" hidden="1">#REF!</definedName>
    <definedName name="SD_1x1_63x1_12_S_0" localSheetId="6" hidden="1">#REF!</definedName>
    <definedName name="SD_1x1_63x1_12_S_0" localSheetId="8" hidden="1">#REF!</definedName>
    <definedName name="SD_1x1_63x1_12_S_0" localSheetId="13" hidden="1">#REF!</definedName>
    <definedName name="SD_1x1_63x1_12_S_0" localSheetId="9" hidden="1">#REF!</definedName>
    <definedName name="SD_1x1_63x1_12_S_0" localSheetId="17" hidden="1">#REF!</definedName>
    <definedName name="SD_1x1_63x1_12_S_0" hidden="1">#REF!</definedName>
    <definedName name="SD_1x1_63x1_3_S_0" localSheetId="4" hidden="1">#REF!</definedName>
    <definedName name="SD_1x1_63x1_3_S_0" localSheetId="15" hidden="1">#REF!</definedName>
    <definedName name="SD_1x1_63x1_3_S_0" localSheetId="14" hidden="1">#REF!</definedName>
    <definedName name="SD_1x1_63x1_3_S_0" localSheetId="3" hidden="1">#REF!</definedName>
    <definedName name="SD_1x1_63x1_3_S_0" localSheetId="12" hidden="1">#REF!</definedName>
    <definedName name="SD_1x1_63x1_3_S_0" localSheetId="11" hidden="1">#REF!</definedName>
    <definedName name="SD_1x1_63x1_3_S_0" localSheetId="6" hidden="1">#REF!</definedName>
    <definedName name="SD_1x1_63x1_3_S_0" localSheetId="8" hidden="1">#REF!</definedName>
    <definedName name="SD_1x1_63x1_3_S_0" localSheetId="13" hidden="1">#REF!</definedName>
    <definedName name="SD_1x1_63x1_3_S_0" localSheetId="9" hidden="1">#REF!</definedName>
    <definedName name="SD_1x1_63x1_3_S_0" localSheetId="17" hidden="1">#REF!</definedName>
    <definedName name="SD_1x1_63x1_3_S_0" hidden="1">#REF!</definedName>
    <definedName name="SD_1x1_63x1_5_S_0" localSheetId="4" hidden="1">#REF!</definedName>
    <definedName name="SD_1x1_63x1_5_S_0" localSheetId="15" hidden="1">#REF!</definedName>
    <definedName name="SD_1x1_63x1_5_S_0" localSheetId="14" hidden="1">#REF!</definedName>
    <definedName name="SD_1x1_63x1_5_S_0" localSheetId="3" hidden="1">#REF!</definedName>
    <definedName name="SD_1x1_63x1_5_S_0" localSheetId="12" hidden="1">#REF!</definedName>
    <definedName name="SD_1x1_63x1_5_S_0" localSheetId="11" hidden="1">#REF!</definedName>
    <definedName name="SD_1x1_63x1_5_S_0" localSheetId="6" hidden="1">#REF!</definedName>
    <definedName name="SD_1x1_63x1_5_S_0" localSheetId="8" hidden="1">#REF!</definedName>
    <definedName name="SD_1x1_63x1_5_S_0" localSheetId="13" hidden="1">#REF!</definedName>
    <definedName name="SD_1x1_63x1_5_S_0" localSheetId="9" hidden="1">#REF!</definedName>
    <definedName name="SD_1x1_63x1_5_S_0" localSheetId="17" hidden="1">#REF!</definedName>
    <definedName name="SD_1x1_63x1_5_S_0" hidden="1">#REF!</definedName>
    <definedName name="SD_1x1_63x1_6_S_152" localSheetId="4" hidden="1">#REF!</definedName>
    <definedName name="SD_1x1_63x1_6_S_152" localSheetId="15" hidden="1">#REF!</definedName>
    <definedName name="SD_1x1_63x1_6_S_152" localSheetId="14" hidden="1">#REF!</definedName>
    <definedName name="SD_1x1_63x1_6_S_152" localSheetId="3" hidden="1">#REF!</definedName>
    <definedName name="SD_1x1_63x1_6_S_152" localSheetId="12" hidden="1">#REF!</definedName>
    <definedName name="SD_1x1_63x1_6_S_152" localSheetId="11" hidden="1">#REF!</definedName>
    <definedName name="SD_1x1_63x1_6_S_152" localSheetId="6" hidden="1">#REF!</definedName>
    <definedName name="SD_1x1_63x1_6_S_152" localSheetId="8" hidden="1">#REF!</definedName>
    <definedName name="SD_1x1_63x1_6_S_152" localSheetId="13" hidden="1">#REF!</definedName>
    <definedName name="SD_1x1_63x1_6_S_152" localSheetId="9" hidden="1">#REF!</definedName>
    <definedName name="SD_1x1_63x1_6_S_152" localSheetId="17" hidden="1">#REF!</definedName>
    <definedName name="SD_1x1_63x1_6_S_152" hidden="1">#REF!</definedName>
    <definedName name="SD_1x1_63x1_7_S_0" localSheetId="4" hidden="1">#REF!</definedName>
    <definedName name="SD_1x1_63x1_7_S_0" localSheetId="15" hidden="1">#REF!</definedName>
    <definedName name="SD_1x1_63x1_7_S_0" localSheetId="14" hidden="1">#REF!</definedName>
    <definedName name="SD_1x1_63x1_7_S_0" localSheetId="3" hidden="1">#REF!</definedName>
    <definedName name="SD_1x1_63x1_7_S_0" localSheetId="12" hidden="1">#REF!</definedName>
    <definedName name="SD_1x1_63x1_7_S_0" localSheetId="11" hidden="1">#REF!</definedName>
    <definedName name="SD_1x1_63x1_7_S_0" localSheetId="6" hidden="1">#REF!</definedName>
    <definedName name="SD_1x1_63x1_7_S_0" localSheetId="8" hidden="1">#REF!</definedName>
    <definedName name="SD_1x1_63x1_7_S_0" localSheetId="13" hidden="1">#REF!</definedName>
    <definedName name="SD_1x1_63x1_7_S_0" localSheetId="9" hidden="1">#REF!</definedName>
    <definedName name="SD_1x1_63x1_7_S_0" localSheetId="17" hidden="1">#REF!</definedName>
    <definedName name="SD_1x1_63x1_7_S_0" hidden="1">#REF!</definedName>
    <definedName name="SD_1x1_63x1_9_S_0" localSheetId="4" hidden="1">#REF!</definedName>
    <definedName name="SD_1x1_63x1_9_S_0" localSheetId="15" hidden="1">#REF!</definedName>
    <definedName name="SD_1x1_63x1_9_S_0" localSheetId="14" hidden="1">#REF!</definedName>
    <definedName name="SD_1x1_63x1_9_S_0" localSheetId="3" hidden="1">#REF!</definedName>
    <definedName name="SD_1x1_63x1_9_S_0" localSheetId="12" hidden="1">#REF!</definedName>
    <definedName name="SD_1x1_63x1_9_S_0" localSheetId="11" hidden="1">#REF!</definedName>
    <definedName name="SD_1x1_63x1_9_S_0" localSheetId="6" hidden="1">#REF!</definedName>
    <definedName name="SD_1x1_63x1_9_S_0" localSheetId="8" hidden="1">#REF!</definedName>
    <definedName name="SD_1x1_63x1_9_S_0" localSheetId="13" hidden="1">#REF!</definedName>
    <definedName name="SD_1x1_63x1_9_S_0" localSheetId="9" hidden="1">#REF!</definedName>
    <definedName name="SD_1x1_63x1_9_S_0" localSheetId="17" hidden="1">#REF!</definedName>
    <definedName name="SD_1x1_63x1_9_S_0" hidden="1">#REF!</definedName>
    <definedName name="SD_1x1_64x1_1_S_0" localSheetId="4" hidden="1">#REF!</definedName>
    <definedName name="SD_1x1_64x1_1_S_0" localSheetId="15" hidden="1">#REF!</definedName>
    <definedName name="SD_1x1_64x1_1_S_0" localSheetId="14" hidden="1">#REF!</definedName>
    <definedName name="SD_1x1_64x1_1_S_0" localSheetId="3" hidden="1">#REF!</definedName>
    <definedName name="SD_1x1_64x1_1_S_0" localSheetId="12" hidden="1">#REF!</definedName>
    <definedName name="SD_1x1_64x1_1_S_0" localSheetId="11" hidden="1">#REF!</definedName>
    <definedName name="SD_1x1_64x1_1_S_0" localSheetId="6" hidden="1">#REF!</definedName>
    <definedName name="SD_1x1_64x1_1_S_0" localSheetId="8" hidden="1">#REF!</definedName>
    <definedName name="SD_1x1_64x1_1_S_0" localSheetId="13" hidden="1">#REF!</definedName>
    <definedName name="SD_1x1_64x1_1_S_0" localSheetId="9" hidden="1">#REF!</definedName>
    <definedName name="SD_1x1_64x1_1_S_0" localSheetId="17" hidden="1">#REF!</definedName>
    <definedName name="SD_1x1_64x1_1_S_0" hidden="1">#REF!</definedName>
    <definedName name="SD_1x1_64x1_11_S_0" localSheetId="4" hidden="1">#REF!</definedName>
    <definedName name="SD_1x1_64x1_11_S_0" localSheetId="15" hidden="1">#REF!</definedName>
    <definedName name="SD_1x1_64x1_11_S_0" localSheetId="14" hidden="1">#REF!</definedName>
    <definedName name="SD_1x1_64x1_11_S_0" localSheetId="3" hidden="1">#REF!</definedName>
    <definedName name="SD_1x1_64x1_11_S_0" localSheetId="12" hidden="1">#REF!</definedName>
    <definedName name="SD_1x1_64x1_11_S_0" localSheetId="11" hidden="1">#REF!</definedName>
    <definedName name="SD_1x1_64x1_11_S_0" localSheetId="6" hidden="1">#REF!</definedName>
    <definedName name="SD_1x1_64x1_11_S_0" localSheetId="8" hidden="1">#REF!</definedName>
    <definedName name="SD_1x1_64x1_11_S_0" localSheetId="13" hidden="1">#REF!</definedName>
    <definedName name="SD_1x1_64x1_11_S_0" localSheetId="9" hidden="1">#REF!</definedName>
    <definedName name="SD_1x1_64x1_11_S_0" localSheetId="17" hidden="1">#REF!</definedName>
    <definedName name="SD_1x1_64x1_11_S_0" hidden="1">#REF!</definedName>
    <definedName name="SD_1x1_64x1_12_S_0" localSheetId="4" hidden="1">#REF!</definedName>
    <definedName name="SD_1x1_64x1_12_S_0" localSheetId="15" hidden="1">#REF!</definedName>
    <definedName name="SD_1x1_64x1_12_S_0" localSheetId="14" hidden="1">#REF!</definedName>
    <definedName name="SD_1x1_64x1_12_S_0" localSheetId="3" hidden="1">#REF!</definedName>
    <definedName name="SD_1x1_64x1_12_S_0" localSheetId="12" hidden="1">#REF!</definedName>
    <definedName name="SD_1x1_64x1_12_S_0" localSheetId="11" hidden="1">#REF!</definedName>
    <definedName name="SD_1x1_64x1_12_S_0" localSheetId="6" hidden="1">#REF!</definedName>
    <definedName name="SD_1x1_64x1_12_S_0" localSheetId="8" hidden="1">#REF!</definedName>
    <definedName name="SD_1x1_64x1_12_S_0" localSheetId="13" hidden="1">#REF!</definedName>
    <definedName name="SD_1x1_64x1_12_S_0" localSheetId="9" hidden="1">#REF!</definedName>
    <definedName name="SD_1x1_64x1_12_S_0" localSheetId="17" hidden="1">#REF!</definedName>
    <definedName name="SD_1x1_64x1_12_S_0" hidden="1">#REF!</definedName>
    <definedName name="SD_1x1_64x1_3_S_0" localSheetId="4" hidden="1">#REF!</definedName>
    <definedName name="SD_1x1_64x1_3_S_0" localSheetId="15" hidden="1">#REF!</definedName>
    <definedName name="SD_1x1_64x1_3_S_0" localSheetId="14" hidden="1">#REF!</definedName>
    <definedName name="SD_1x1_64x1_3_S_0" localSheetId="3" hidden="1">#REF!</definedName>
    <definedName name="SD_1x1_64x1_3_S_0" localSheetId="12" hidden="1">#REF!</definedName>
    <definedName name="SD_1x1_64x1_3_S_0" localSheetId="11" hidden="1">#REF!</definedName>
    <definedName name="SD_1x1_64x1_3_S_0" localSheetId="6" hidden="1">#REF!</definedName>
    <definedName name="SD_1x1_64x1_3_S_0" localSheetId="8" hidden="1">#REF!</definedName>
    <definedName name="SD_1x1_64x1_3_S_0" localSheetId="13" hidden="1">#REF!</definedName>
    <definedName name="SD_1x1_64x1_3_S_0" localSheetId="9" hidden="1">#REF!</definedName>
    <definedName name="SD_1x1_64x1_3_S_0" localSheetId="17" hidden="1">#REF!</definedName>
    <definedName name="SD_1x1_64x1_3_S_0" hidden="1">#REF!</definedName>
    <definedName name="SD_1x1_64x1_5_S_0" localSheetId="4" hidden="1">#REF!</definedName>
    <definedName name="SD_1x1_64x1_5_S_0" localSheetId="15" hidden="1">#REF!</definedName>
    <definedName name="SD_1x1_64x1_5_S_0" localSheetId="14" hidden="1">#REF!</definedName>
    <definedName name="SD_1x1_64x1_5_S_0" localSheetId="3" hidden="1">#REF!</definedName>
    <definedName name="SD_1x1_64x1_5_S_0" localSheetId="12" hidden="1">#REF!</definedName>
    <definedName name="SD_1x1_64x1_5_S_0" localSheetId="11" hidden="1">#REF!</definedName>
    <definedName name="SD_1x1_64x1_5_S_0" localSheetId="6" hidden="1">#REF!</definedName>
    <definedName name="SD_1x1_64x1_5_S_0" localSheetId="8" hidden="1">#REF!</definedName>
    <definedName name="SD_1x1_64x1_5_S_0" localSheetId="13" hidden="1">#REF!</definedName>
    <definedName name="SD_1x1_64x1_5_S_0" localSheetId="9" hidden="1">#REF!</definedName>
    <definedName name="SD_1x1_64x1_5_S_0" localSheetId="17" hidden="1">#REF!</definedName>
    <definedName name="SD_1x1_64x1_5_S_0" hidden="1">#REF!</definedName>
    <definedName name="SD_1x1_64x1_6_S_152" localSheetId="4" hidden="1">#REF!</definedName>
    <definedName name="SD_1x1_64x1_6_S_152" localSheetId="15" hidden="1">#REF!</definedName>
    <definedName name="SD_1x1_64x1_6_S_152" localSheetId="14" hidden="1">#REF!</definedName>
    <definedName name="SD_1x1_64x1_6_S_152" localSheetId="3" hidden="1">#REF!</definedName>
    <definedName name="SD_1x1_64x1_6_S_152" localSheetId="12" hidden="1">#REF!</definedName>
    <definedName name="SD_1x1_64x1_6_S_152" localSheetId="11" hidden="1">#REF!</definedName>
    <definedName name="SD_1x1_64x1_6_S_152" localSheetId="6" hidden="1">#REF!</definedName>
    <definedName name="SD_1x1_64x1_6_S_152" localSheetId="8" hidden="1">#REF!</definedName>
    <definedName name="SD_1x1_64x1_6_S_152" localSheetId="13" hidden="1">#REF!</definedName>
    <definedName name="SD_1x1_64x1_6_S_152" localSheetId="9" hidden="1">#REF!</definedName>
    <definedName name="SD_1x1_64x1_6_S_152" localSheetId="17" hidden="1">#REF!</definedName>
    <definedName name="SD_1x1_64x1_6_S_152" hidden="1">#REF!</definedName>
    <definedName name="SD_1x1_64x1_7_S_0" localSheetId="4" hidden="1">#REF!</definedName>
    <definedName name="SD_1x1_64x1_7_S_0" localSheetId="15" hidden="1">#REF!</definedName>
    <definedName name="SD_1x1_64x1_7_S_0" localSheetId="14" hidden="1">#REF!</definedName>
    <definedName name="SD_1x1_64x1_7_S_0" localSheetId="3" hidden="1">#REF!</definedName>
    <definedName name="SD_1x1_64x1_7_S_0" localSheetId="12" hidden="1">#REF!</definedName>
    <definedName name="SD_1x1_64x1_7_S_0" localSheetId="11" hidden="1">#REF!</definedName>
    <definedName name="SD_1x1_64x1_7_S_0" localSheetId="6" hidden="1">#REF!</definedName>
    <definedName name="SD_1x1_64x1_7_S_0" localSheetId="8" hidden="1">#REF!</definedName>
    <definedName name="SD_1x1_64x1_7_S_0" localSheetId="13" hidden="1">#REF!</definedName>
    <definedName name="SD_1x1_64x1_7_S_0" localSheetId="9" hidden="1">#REF!</definedName>
    <definedName name="SD_1x1_64x1_7_S_0" localSheetId="17" hidden="1">#REF!</definedName>
    <definedName name="SD_1x1_64x1_7_S_0" hidden="1">#REF!</definedName>
    <definedName name="SD_1x1_64x1_9_S_0" localSheetId="4" hidden="1">#REF!</definedName>
    <definedName name="SD_1x1_64x1_9_S_0" localSheetId="15" hidden="1">#REF!</definedName>
    <definedName name="SD_1x1_64x1_9_S_0" localSheetId="14" hidden="1">#REF!</definedName>
    <definedName name="SD_1x1_64x1_9_S_0" localSheetId="3" hidden="1">#REF!</definedName>
    <definedName name="SD_1x1_64x1_9_S_0" localSheetId="12" hidden="1">#REF!</definedName>
    <definedName name="SD_1x1_64x1_9_S_0" localSheetId="11" hidden="1">#REF!</definedName>
    <definedName name="SD_1x1_64x1_9_S_0" localSheetId="6" hidden="1">#REF!</definedName>
    <definedName name="SD_1x1_64x1_9_S_0" localSheetId="8" hidden="1">#REF!</definedName>
    <definedName name="SD_1x1_64x1_9_S_0" localSheetId="13" hidden="1">#REF!</definedName>
    <definedName name="SD_1x1_64x1_9_S_0" localSheetId="9" hidden="1">#REF!</definedName>
    <definedName name="SD_1x1_64x1_9_S_0" localSheetId="17" hidden="1">#REF!</definedName>
    <definedName name="SD_1x1_64x1_9_S_0" hidden="1">#REF!</definedName>
    <definedName name="SD_1x1_79x1_1_S_0" localSheetId="4" hidden="1">#REF!</definedName>
    <definedName name="SD_1x1_79x1_1_S_0" localSheetId="15" hidden="1">#REF!</definedName>
    <definedName name="SD_1x1_79x1_1_S_0" localSheetId="14" hidden="1">#REF!</definedName>
    <definedName name="SD_1x1_79x1_1_S_0" localSheetId="3" hidden="1">#REF!</definedName>
    <definedName name="SD_1x1_79x1_1_S_0" localSheetId="12" hidden="1">#REF!</definedName>
    <definedName name="SD_1x1_79x1_1_S_0" localSheetId="11" hidden="1">#REF!</definedName>
    <definedName name="SD_1x1_79x1_1_S_0" localSheetId="6" hidden="1">#REF!</definedName>
    <definedName name="SD_1x1_79x1_1_S_0" localSheetId="8" hidden="1">#REF!</definedName>
    <definedName name="SD_1x1_79x1_1_S_0" localSheetId="13" hidden="1">#REF!</definedName>
    <definedName name="SD_1x1_79x1_1_S_0" localSheetId="9" hidden="1">#REF!</definedName>
    <definedName name="SD_1x1_79x1_1_S_0" localSheetId="17" hidden="1">#REF!</definedName>
    <definedName name="SD_1x1_79x1_1_S_0" hidden="1">#REF!</definedName>
    <definedName name="SD_1x1_79x1_11_S_0" localSheetId="4" hidden="1">#REF!</definedName>
    <definedName name="SD_1x1_79x1_11_S_0" localSheetId="15" hidden="1">#REF!</definedName>
    <definedName name="SD_1x1_79x1_11_S_0" localSheetId="14" hidden="1">#REF!</definedName>
    <definedName name="SD_1x1_79x1_11_S_0" localSheetId="3" hidden="1">#REF!</definedName>
    <definedName name="SD_1x1_79x1_11_S_0" localSheetId="12" hidden="1">#REF!</definedName>
    <definedName name="SD_1x1_79x1_11_S_0" localSheetId="11" hidden="1">#REF!</definedName>
    <definedName name="SD_1x1_79x1_11_S_0" localSheetId="6" hidden="1">#REF!</definedName>
    <definedName name="SD_1x1_79x1_11_S_0" localSheetId="8" hidden="1">#REF!</definedName>
    <definedName name="SD_1x1_79x1_11_S_0" localSheetId="13" hidden="1">#REF!</definedName>
    <definedName name="SD_1x1_79x1_11_S_0" localSheetId="9" hidden="1">#REF!</definedName>
    <definedName name="SD_1x1_79x1_11_S_0" localSheetId="17" hidden="1">#REF!</definedName>
    <definedName name="SD_1x1_79x1_11_S_0" hidden="1">#REF!</definedName>
    <definedName name="SD_1x1_79x1_12_S_0" localSheetId="4" hidden="1">#REF!</definedName>
    <definedName name="SD_1x1_79x1_12_S_0" localSheetId="15" hidden="1">#REF!</definedName>
    <definedName name="SD_1x1_79x1_12_S_0" localSheetId="14" hidden="1">#REF!</definedName>
    <definedName name="SD_1x1_79x1_12_S_0" localSheetId="3" hidden="1">#REF!</definedName>
    <definedName name="SD_1x1_79x1_12_S_0" localSheetId="12" hidden="1">#REF!</definedName>
    <definedName name="SD_1x1_79x1_12_S_0" localSheetId="11" hidden="1">#REF!</definedName>
    <definedName name="SD_1x1_79x1_12_S_0" localSheetId="6" hidden="1">#REF!</definedName>
    <definedName name="SD_1x1_79x1_12_S_0" localSheetId="8" hidden="1">#REF!</definedName>
    <definedName name="SD_1x1_79x1_12_S_0" localSheetId="13" hidden="1">#REF!</definedName>
    <definedName name="SD_1x1_79x1_12_S_0" localSheetId="9" hidden="1">#REF!</definedName>
    <definedName name="SD_1x1_79x1_12_S_0" localSheetId="17" hidden="1">#REF!</definedName>
    <definedName name="SD_1x1_79x1_12_S_0" hidden="1">#REF!</definedName>
    <definedName name="SD_1x1_79x1_3_S_0" localSheetId="4" hidden="1">#REF!</definedName>
    <definedName name="SD_1x1_79x1_3_S_0" localSheetId="15" hidden="1">#REF!</definedName>
    <definedName name="SD_1x1_79x1_3_S_0" localSheetId="14" hidden="1">#REF!</definedName>
    <definedName name="SD_1x1_79x1_3_S_0" localSheetId="3" hidden="1">#REF!</definedName>
    <definedName name="SD_1x1_79x1_3_S_0" localSheetId="12" hidden="1">#REF!</definedName>
    <definedName name="SD_1x1_79x1_3_S_0" localSheetId="11" hidden="1">#REF!</definedName>
    <definedName name="SD_1x1_79x1_3_S_0" localSheetId="6" hidden="1">#REF!</definedName>
    <definedName name="SD_1x1_79x1_3_S_0" localSheetId="8" hidden="1">#REF!</definedName>
    <definedName name="SD_1x1_79x1_3_S_0" localSheetId="13" hidden="1">#REF!</definedName>
    <definedName name="SD_1x1_79x1_3_S_0" localSheetId="9" hidden="1">#REF!</definedName>
    <definedName name="SD_1x1_79x1_3_S_0" localSheetId="17" hidden="1">#REF!</definedName>
    <definedName name="SD_1x1_79x1_3_S_0" hidden="1">#REF!</definedName>
    <definedName name="SD_1x1_79x1_5_S_0" localSheetId="4" hidden="1">#REF!</definedName>
    <definedName name="SD_1x1_79x1_5_S_0" localSheetId="15" hidden="1">#REF!</definedName>
    <definedName name="SD_1x1_79x1_5_S_0" localSheetId="14" hidden="1">#REF!</definedName>
    <definedName name="SD_1x1_79x1_5_S_0" localSheetId="3" hidden="1">#REF!</definedName>
    <definedName name="SD_1x1_79x1_5_S_0" localSheetId="12" hidden="1">#REF!</definedName>
    <definedName name="SD_1x1_79x1_5_S_0" localSheetId="11" hidden="1">#REF!</definedName>
    <definedName name="SD_1x1_79x1_5_S_0" localSheetId="6" hidden="1">#REF!</definedName>
    <definedName name="SD_1x1_79x1_5_S_0" localSheetId="8" hidden="1">#REF!</definedName>
    <definedName name="SD_1x1_79x1_5_S_0" localSheetId="13" hidden="1">#REF!</definedName>
    <definedName name="SD_1x1_79x1_5_S_0" localSheetId="9" hidden="1">#REF!</definedName>
    <definedName name="SD_1x1_79x1_5_S_0" localSheetId="17" hidden="1">#REF!</definedName>
    <definedName name="SD_1x1_79x1_5_S_0" hidden="1">#REF!</definedName>
    <definedName name="SD_1x1_79x1_6_S_152" localSheetId="4" hidden="1">#REF!</definedName>
    <definedName name="SD_1x1_79x1_6_S_152" localSheetId="15" hidden="1">#REF!</definedName>
    <definedName name="SD_1x1_79x1_6_S_152" localSheetId="14" hidden="1">#REF!</definedName>
    <definedName name="SD_1x1_79x1_6_S_152" localSheetId="3" hidden="1">#REF!</definedName>
    <definedName name="SD_1x1_79x1_6_S_152" localSheetId="12" hidden="1">#REF!</definedName>
    <definedName name="SD_1x1_79x1_6_S_152" localSheetId="11" hidden="1">#REF!</definedName>
    <definedName name="SD_1x1_79x1_6_S_152" localSheetId="6" hidden="1">#REF!</definedName>
    <definedName name="SD_1x1_79x1_6_S_152" localSheetId="8" hidden="1">#REF!</definedName>
    <definedName name="SD_1x1_79x1_6_S_152" localSheetId="13" hidden="1">#REF!</definedName>
    <definedName name="SD_1x1_79x1_6_S_152" localSheetId="9" hidden="1">#REF!</definedName>
    <definedName name="SD_1x1_79x1_6_S_152" localSheetId="17" hidden="1">#REF!</definedName>
    <definedName name="SD_1x1_79x1_6_S_152" hidden="1">#REF!</definedName>
    <definedName name="SD_1x1_79x1_7_S_0" localSheetId="4" hidden="1">#REF!</definedName>
    <definedName name="SD_1x1_79x1_7_S_0" localSheetId="15" hidden="1">#REF!</definedName>
    <definedName name="SD_1x1_79x1_7_S_0" localSheetId="14" hidden="1">#REF!</definedName>
    <definedName name="SD_1x1_79x1_7_S_0" localSheetId="3" hidden="1">#REF!</definedName>
    <definedName name="SD_1x1_79x1_7_S_0" localSheetId="12" hidden="1">#REF!</definedName>
    <definedName name="SD_1x1_79x1_7_S_0" localSheetId="11" hidden="1">#REF!</definedName>
    <definedName name="SD_1x1_79x1_7_S_0" localSheetId="6" hidden="1">#REF!</definedName>
    <definedName name="SD_1x1_79x1_7_S_0" localSheetId="8" hidden="1">#REF!</definedName>
    <definedName name="SD_1x1_79x1_7_S_0" localSheetId="13" hidden="1">#REF!</definedName>
    <definedName name="SD_1x1_79x1_7_S_0" localSheetId="9" hidden="1">#REF!</definedName>
    <definedName name="SD_1x1_79x1_7_S_0" localSheetId="17" hidden="1">#REF!</definedName>
    <definedName name="SD_1x1_79x1_7_S_0" hidden="1">#REF!</definedName>
    <definedName name="SD_1x1_79x1_9_S_0" localSheetId="4" hidden="1">#REF!</definedName>
    <definedName name="SD_1x1_79x1_9_S_0" localSheetId="15" hidden="1">#REF!</definedName>
    <definedName name="SD_1x1_79x1_9_S_0" localSheetId="14" hidden="1">#REF!</definedName>
    <definedName name="SD_1x1_79x1_9_S_0" localSheetId="3" hidden="1">#REF!</definedName>
    <definedName name="SD_1x1_79x1_9_S_0" localSheetId="12" hidden="1">#REF!</definedName>
    <definedName name="SD_1x1_79x1_9_S_0" localSheetId="11" hidden="1">#REF!</definedName>
    <definedName name="SD_1x1_79x1_9_S_0" localSheetId="6" hidden="1">#REF!</definedName>
    <definedName name="SD_1x1_79x1_9_S_0" localSheetId="8" hidden="1">#REF!</definedName>
    <definedName name="SD_1x1_79x1_9_S_0" localSheetId="13" hidden="1">#REF!</definedName>
    <definedName name="SD_1x1_79x1_9_S_0" localSheetId="9" hidden="1">#REF!</definedName>
    <definedName name="SD_1x1_79x1_9_S_0" localSheetId="17" hidden="1">#REF!</definedName>
    <definedName name="SD_1x1_79x1_9_S_0" hidden="1">#REF!</definedName>
    <definedName name="SD_1x1_83x1_1_S_0" localSheetId="4" hidden="1">#REF!</definedName>
    <definedName name="SD_1x1_83x1_1_S_0" localSheetId="15" hidden="1">#REF!</definedName>
    <definedName name="SD_1x1_83x1_1_S_0" localSheetId="14" hidden="1">#REF!</definedName>
    <definedName name="SD_1x1_83x1_1_S_0" localSheetId="3" hidden="1">#REF!</definedName>
    <definedName name="SD_1x1_83x1_1_S_0" localSheetId="12" hidden="1">#REF!</definedName>
    <definedName name="SD_1x1_83x1_1_S_0" localSheetId="11" hidden="1">#REF!</definedName>
    <definedName name="SD_1x1_83x1_1_S_0" localSheetId="6" hidden="1">#REF!</definedName>
    <definedName name="SD_1x1_83x1_1_S_0" localSheetId="8" hidden="1">#REF!</definedName>
    <definedName name="SD_1x1_83x1_1_S_0" localSheetId="13" hidden="1">#REF!</definedName>
    <definedName name="SD_1x1_83x1_1_S_0" localSheetId="9" hidden="1">#REF!</definedName>
    <definedName name="SD_1x1_83x1_1_S_0" localSheetId="17" hidden="1">#REF!</definedName>
    <definedName name="SD_1x1_83x1_1_S_0" hidden="1">#REF!</definedName>
    <definedName name="SD_1x1_83x1_11_S_0" localSheetId="4" hidden="1">#REF!</definedName>
    <definedName name="SD_1x1_83x1_11_S_0" localSheetId="15" hidden="1">#REF!</definedName>
    <definedName name="SD_1x1_83x1_11_S_0" localSheetId="14" hidden="1">#REF!</definedName>
    <definedName name="SD_1x1_83x1_11_S_0" localSheetId="3" hidden="1">#REF!</definedName>
    <definedName name="SD_1x1_83x1_11_S_0" localSheetId="12" hidden="1">#REF!</definedName>
    <definedName name="SD_1x1_83x1_11_S_0" localSheetId="11" hidden="1">#REF!</definedName>
    <definedName name="SD_1x1_83x1_11_S_0" localSheetId="6" hidden="1">#REF!</definedName>
    <definedName name="SD_1x1_83x1_11_S_0" localSheetId="8" hidden="1">#REF!</definedName>
    <definedName name="SD_1x1_83x1_11_S_0" localSheetId="13" hidden="1">#REF!</definedName>
    <definedName name="SD_1x1_83x1_11_S_0" localSheetId="9" hidden="1">#REF!</definedName>
    <definedName name="SD_1x1_83x1_11_S_0" localSheetId="17" hidden="1">#REF!</definedName>
    <definedName name="SD_1x1_83x1_11_S_0" hidden="1">#REF!</definedName>
    <definedName name="SD_1x1_83x1_12_S_0" localSheetId="4" hidden="1">#REF!</definedName>
    <definedName name="SD_1x1_83x1_12_S_0" localSheetId="15" hidden="1">#REF!</definedName>
    <definedName name="SD_1x1_83x1_12_S_0" localSheetId="14" hidden="1">#REF!</definedName>
    <definedName name="SD_1x1_83x1_12_S_0" localSheetId="3" hidden="1">#REF!</definedName>
    <definedName name="SD_1x1_83x1_12_S_0" localSheetId="12" hidden="1">#REF!</definedName>
    <definedName name="SD_1x1_83x1_12_S_0" localSheetId="11" hidden="1">#REF!</definedName>
    <definedName name="SD_1x1_83x1_12_S_0" localSheetId="6" hidden="1">#REF!</definedName>
    <definedName name="SD_1x1_83x1_12_S_0" localSheetId="8" hidden="1">#REF!</definedName>
    <definedName name="SD_1x1_83x1_12_S_0" localSheetId="13" hidden="1">#REF!</definedName>
    <definedName name="SD_1x1_83x1_12_S_0" localSheetId="9" hidden="1">#REF!</definedName>
    <definedName name="SD_1x1_83x1_12_S_0" localSheetId="17" hidden="1">#REF!</definedName>
    <definedName name="SD_1x1_83x1_12_S_0" hidden="1">#REF!</definedName>
    <definedName name="SD_1x1_83x1_3_S_0" localSheetId="4" hidden="1">#REF!</definedName>
    <definedName name="SD_1x1_83x1_3_S_0" localSheetId="15" hidden="1">#REF!</definedName>
    <definedName name="SD_1x1_83x1_3_S_0" localSheetId="14" hidden="1">#REF!</definedName>
    <definedName name="SD_1x1_83x1_3_S_0" localSheetId="3" hidden="1">#REF!</definedName>
    <definedName name="SD_1x1_83x1_3_S_0" localSheetId="12" hidden="1">#REF!</definedName>
    <definedName name="SD_1x1_83x1_3_S_0" localSheetId="11" hidden="1">#REF!</definedName>
    <definedName name="SD_1x1_83x1_3_S_0" localSheetId="6" hidden="1">#REF!</definedName>
    <definedName name="SD_1x1_83x1_3_S_0" localSheetId="8" hidden="1">#REF!</definedName>
    <definedName name="SD_1x1_83x1_3_S_0" localSheetId="13" hidden="1">#REF!</definedName>
    <definedName name="SD_1x1_83x1_3_S_0" localSheetId="9" hidden="1">#REF!</definedName>
    <definedName name="SD_1x1_83x1_3_S_0" localSheetId="17" hidden="1">#REF!</definedName>
    <definedName name="SD_1x1_83x1_3_S_0" hidden="1">#REF!</definedName>
    <definedName name="SD_1x1_83x1_5_S_0" localSheetId="4" hidden="1">#REF!</definedName>
    <definedName name="SD_1x1_83x1_5_S_0" localSheetId="15" hidden="1">#REF!</definedName>
    <definedName name="SD_1x1_83x1_5_S_0" localSheetId="14" hidden="1">#REF!</definedName>
    <definedName name="SD_1x1_83x1_5_S_0" localSheetId="3" hidden="1">#REF!</definedName>
    <definedName name="SD_1x1_83x1_5_S_0" localSheetId="12" hidden="1">#REF!</definedName>
    <definedName name="SD_1x1_83x1_5_S_0" localSheetId="11" hidden="1">#REF!</definedName>
    <definedName name="SD_1x1_83x1_5_S_0" localSheetId="6" hidden="1">#REF!</definedName>
    <definedName name="SD_1x1_83x1_5_S_0" localSheetId="8" hidden="1">#REF!</definedName>
    <definedName name="SD_1x1_83x1_5_S_0" localSheetId="13" hidden="1">#REF!</definedName>
    <definedName name="SD_1x1_83x1_5_S_0" localSheetId="9" hidden="1">#REF!</definedName>
    <definedName name="SD_1x1_83x1_5_S_0" localSheetId="17" hidden="1">#REF!</definedName>
    <definedName name="SD_1x1_83x1_5_S_0" hidden="1">#REF!</definedName>
    <definedName name="SD_1x1_83x1_6_S_152" localSheetId="4" hidden="1">#REF!</definedName>
    <definedName name="SD_1x1_83x1_6_S_152" localSheetId="15" hidden="1">#REF!</definedName>
    <definedName name="SD_1x1_83x1_6_S_152" localSheetId="14" hidden="1">#REF!</definedName>
    <definedName name="SD_1x1_83x1_6_S_152" localSheetId="3" hidden="1">#REF!</definedName>
    <definedName name="SD_1x1_83x1_6_S_152" localSheetId="12" hidden="1">#REF!</definedName>
    <definedName name="SD_1x1_83x1_6_S_152" localSheetId="11" hidden="1">#REF!</definedName>
    <definedName name="SD_1x1_83x1_6_S_152" localSheetId="6" hidden="1">#REF!</definedName>
    <definedName name="SD_1x1_83x1_6_S_152" localSheetId="8" hidden="1">#REF!</definedName>
    <definedName name="SD_1x1_83x1_6_S_152" localSheetId="13" hidden="1">#REF!</definedName>
    <definedName name="SD_1x1_83x1_6_S_152" localSheetId="9" hidden="1">#REF!</definedName>
    <definedName name="SD_1x1_83x1_6_S_152" localSheetId="17" hidden="1">#REF!</definedName>
    <definedName name="SD_1x1_83x1_6_S_152" hidden="1">#REF!</definedName>
    <definedName name="SD_1x1_83x1_7_S_0" localSheetId="4" hidden="1">#REF!</definedName>
    <definedName name="SD_1x1_83x1_7_S_0" localSheetId="15" hidden="1">#REF!</definedName>
    <definedName name="SD_1x1_83x1_7_S_0" localSheetId="14" hidden="1">#REF!</definedName>
    <definedName name="SD_1x1_83x1_7_S_0" localSheetId="3" hidden="1">#REF!</definedName>
    <definedName name="SD_1x1_83x1_7_S_0" localSheetId="12" hidden="1">#REF!</definedName>
    <definedName name="SD_1x1_83x1_7_S_0" localSheetId="11" hidden="1">#REF!</definedName>
    <definedName name="SD_1x1_83x1_7_S_0" localSheetId="6" hidden="1">#REF!</definedName>
    <definedName name="SD_1x1_83x1_7_S_0" localSheetId="8" hidden="1">#REF!</definedName>
    <definedName name="SD_1x1_83x1_7_S_0" localSheetId="13" hidden="1">#REF!</definedName>
    <definedName name="SD_1x1_83x1_7_S_0" localSheetId="9" hidden="1">#REF!</definedName>
    <definedName name="SD_1x1_83x1_7_S_0" localSheetId="17" hidden="1">#REF!</definedName>
    <definedName name="SD_1x1_83x1_7_S_0" hidden="1">#REF!</definedName>
    <definedName name="SD_1x1_83x1_9_S_0" localSheetId="4" hidden="1">#REF!</definedName>
    <definedName name="SD_1x1_83x1_9_S_0" localSheetId="15" hidden="1">#REF!</definedName>
    <definedName name="SD_1x1_83x1_9_S_0" localSheetId="14" hidden="1">#REF!</definedName>
    <definedName name="SD_1x1_83x1_9_S_0" localSheetId="3" hidden="1">#REF!</definedName>
    <definedName name="SD_1x1_83x1_9_S_0" localSheetId="12" hidden="1">#REF!</definedName>
    <definedName name="SD_1x1_83x1_9_S_0" localSheetId="11" hidden="1">#REF!</definedName>
    <definedName name="SD_1x1_83x1_9_S_0" localSheetId="6" hidden="1">#REF!</definedName>
    <definedName name="SD_1x1_83x1_9_S_0" localSheetId="8" hidden="1">#REF!</definedName>
    <definedName name="SD_1x1_83x1_9_S_0" localSheetId="13" hidden="1">#REF!</definedName>
    <definedName name="SD_1x1_83x1_9_S_0" localSheetId="9" hidden="1">#REF!</definedName>
    <definedName name="SD_1x1_83x1_9_S_0" localSheetId="17" hidden="1">#REF!</definedName>
    <definedName name="SD_1x1_83x1_9_S_0" hidden="1">#REF!</definedName>
    <definedName name="SD_1x1_84x1_1_S_0" localSheetId="4" hidden="1">#REF!</definedName>
    <definedName name="SD_1x1_84x1_1_S_0" localSheetId="15" hidden="1">#REF!</definedName>
    <definedName name="SD_1x1_84x1_1_S_0" localSheetId="14" hidden="1">#REF!</definedName>
    <definedName name="SD_1x1_84x1_1_S_0" localSheetId="3" hidden="1">#REF!</definedName>
    <definedName name="SD_1x1_84x1_1_S_0" localSheetId="12" hidden="1">#REF!</definedName>
    <definedName name="SD_1x1_84x1_1_S_0" localSheetId="11" hidden="1">#REF!</definedName>
    <definedName name="SD_1x1_84x1_1_S_0" localSheetId="6" hidden="1">#REF!</definedName>
    <definedName name="SD_1x1_84x1_1_S_0" localSheetId="8" hidden="1">#REF!</definedName>
    <definedName name="SD_1x1_84x1_1_S_0" localSheetId="13" hidden="1">#REF!</definedName>
    <definedName name="SD_1x1_84x1_1_S_0" localSheetId="9" hidden="1">#REF!</definedName>
    <definedName name="SD_1x1_84x1_1_S_0" localSheetId="17" hidden="1">#REF!</definedName>
    <definedName name="SD_1x1_84x1_1_S_0" hidden="1">#REF!</definedName>
    <definedName name="SD_1x1_84x1_11_S_0" localSheetId="4" hidden="1">#REF!</definedName>
    <definedName name="SD_1x1_84x1_11_S_0" localSheetId="15" hidden="1">#REF!</definedName>
    <definedName name="SD_1x1_84x1_11_S_0" localSheetId="14" hidden="1">#REF!</definedName>
    <definedName name="SD_1x1_84x1_11_S_0" localSheetId="3" hidden="1">#REF!</definedName>
    <definedName name="SD_1x1_84x1_11_S_0" localSheetId="12" hidden="1">#REF!</definedName>
    <definedName name="SD_1x1_84x1_11_S_0" localSheetId="11" hidden="1">#REF!</definedName>
    <definedName name="SD_1x1_84x1_11_S_0" localSheetId="6" hidden="1">#REF!</definedName>
    <definedName name="SD_1x1_84x1_11_S_0" localSheetId="8" hidden="1">#REF!</definedName>
    <definedName name="SD_1x1_84x1_11_S_0" localSheetId="13" hidden="1">#REF!</definedName>
    <definedName name="SD_1x1_84x1_11_S_0" localSheetId="9" hidden="1">#REF!</definedName>
    <definedName name="SD_1x1_84x1_11_S_0" localSheetId="17" hidden="1">#REF!</definedName>
    <definedName name="SD_1x1_84x1_11_S_0" hidden="1">#REF!</definedName>
    <definedName name="SD_1x1_84x1_12_S_0" localSheetId="4" hidden="1">#REF!</definedName>
    <definedName name="SD_1x1_84x1_12_S_0" localSheetId="15" hidden="1">#REF!</definedName>
    <definedName name="SD_1x1_84x1_12_S_0" localSheetId="14" hidden="1">#REF!</definedName>
    <definedName name="SD_1x1_84x1_12_S_0" localSheetId="3" hidden="1">#REF!</definedName>
    <definedName name="SD_1x1_84x1_12_S_0" localSheetId="12" hidden="1">#REF!</definedName>
    <definedName name="SD_1x1_84x1_12_S_0" localSheetId="11" hidden="1">#REF!</definedName>
    <definedName name="SD_1x1_84x1_12_S_0" localSheetId="6" hidden="1">#REF!</definedName>
    <definedName name="SD_1x1_84x1_12_S_0" localSheetId="8" hidden="1">#REF!</definedName>
    <definedName name="SD_1x1_84x1_12_S_0" localSheetId="13" hidden="1">#REF!</definedName>
    <definedName name="SD_1x1_84x1_12_S_0" localSheetId="9" hidden="1">#REF!</definedName>
    <definedName name="SD_1x1_84x1_12_S_0" localSheetId="17" hidden="1">#REF!</definedName>
    <definedName name="SD_1x1_84x1_12_S_0" hidden="1">#REF!</definedName>
    <definedName name="SD_1x1_84x1_3_S_0" localSheetId="4" hidden="1">#REF!</definedName>
    <definedName name="SD_1x1_84x1_3_S_0" localSheetId="15" hidden="1">#REF!</definedName>
    <definedName name="SD_1x1_84x1_3_S_0" localSheetId="14" hidden="1">#REF!</definedName>
    <definedName name="SD_1x1_84x1_3_S_0" localSheetId="3" hidden="1">#REF!</definedName>
    <definedName name="SD_1x1_84x1_3_S_0" localSheetId="12" hidden="1">#REF!</definedName>
    <definedName name="SD_1x1_84x1_3_S_0" localSheetId="11" hidden="1">#REF!</definedName>
    <definedName name="SD_1x1_84x1_3_S_0" localSheetId="6" hidden="1">#REF!</definedName>
    <definedName name="SD_1x1_84x1_3_S_0" localSheetId="8" hidden="1">#REF!</definedName>
    <definedName name="SD_1x1_84x1_3_S_0" localSheetId="13" hidden="1">#REF!</definedName>
    <definedName name="SD_1x1_84x1_3_S_0" localSheetId="9" hidden="1">#REF!</definedName>
    <definedName name="SD_1x1_84x1_3_S_0" localSheetId="17" hidden="1">#REF!</definedName>
    <definedName name="SD_1x1_84x1_3_S_0" hidden="1">#REF!</definedName>
    <definedName name="SD_1x1_84x1_5_S_0" localSheetId="4" hidden="1">#REF!</definedName>
    <definedName name="SD_1x1_84x1_5_S_0" localSheetId="15" hidden="1">#REF!</definedName>
    <definedName name="SD_1x1_84x1_5_S_0" localSheetId="14" hidden="1">#REF!</definedName>
    <definedName name="SD_1x1_84x1_5_S_0" localSheetId="3" hidden="1">#REF!</definedName>
    <definedName name="SD_1x1_84x1_5_S_0" localSheetId="12" hidden="1">#REF!</definedName>
    <definedName name="SD_1x1_84x1_5_S_0" localSheetId="11" hidden="1">#REF!</definedName>
    <definedName name="SD_1x1_84x1_5_S_0" localSheetId="6" hidden="1">#REF!</definedName>
    <definedName name="SD_1x1_84x1_5_S_0" localSheetId="8" hidden="1">#REF!</definedName>
    <definedName name="SD_1x1_84x1_5_S_0" localSheetId="13" hidden="1">#REF!</definedName>
    <definedName name="SD_1x1_84x1_5_S_0" localSheetId="9" hidden="1">#REF!</definedName>
    <definedName name="SD_1x1_84x1_5_S_0" localSheetId="17" hidden="1">#REF!</definedName>
    <definedName name="SD_1x1_84x1_5_S_0" hidden="1">#REF!</definedName>
    <definedName name="SD_1x1_84x1_6_S_152" localSheetId="4" hidden="1">#REF!</definedName>
    <definedName name="SD_1x1_84x1_6_S_152" localSheetId="15" hidden="1">#REF!</definedName>
    <definedName name="SD_1x1_84x1_6_S_152" localSheetId="14" hidden="1">#REF!</definedName>
    <definedName name="SD_1x1_84x1_6_S_152" localSheetId="3" hidden="1">#REF!</definedName>
    <definedName name="SD_1x1_84x1_6_S_152" localSheetId="12" hidden="1">#REF!</definedName>
    <definedName name="SD_1x1_84x1_6_S_152" localSheetId="11" hidden="1">#REF!</definedName>
    <definedName name="SD_1x1_84x1_6_S_152" localSheetId="6" hidden="1">#REF!</definedName>
    <definedName name="SD_1x1_84x1_6_S_152" localSheetId="8" hidden="1">#REF!</definedName>
    <definedName name="SD_1x1_84x1_6_S_152" localSheetId="13" hidden="1">#REF!</definedName>
    <definedName name="SD_1x1_84x1_6_S_152" localSheetId="9" hidden="1">#REF!</definedName>
    <definedName name="SD_1x1_84x1_6_S_152" localSheetId="17" hidden="1">#REF!</definedName>
    <definedName name="SD_1x1_84x1_6_S_152" hidden="1">#REF!</definedName>
    <definedName name="SD_1x1_84x1_7_S_0" localSheetId="4" hidden="1">#REF!</definedName>
    <definedName name="SD_1x1_84x1_7_S_0" localSheetId="15" hidden="1">#REF!</definedName>
    <definedName name="SD_1x1_84x1_7_S_0" localSheetId="14" hidden="1">#REF!</definedName>
    <definedName name="SD_1x1_84x1_7_S_0" localSheetId="3" hidden="1">#REF!</definedName>
    <definedName name="SD_1x1_84x1_7_S_0" localSheetId="12" hidden="1">#REF!</definedName>
    <definedName name="SD_1x1_84x1_7_S_0" localSheetId="11" hidden="1">#REF!</definedName>
    <definedName name="SD_1x1_84x1_7_S_0" localSheetId="6" hidden="1">#REF!</definedName>
    <definedName name="SD_1x1_84x1_7_S_0" localSheetId="8" hidden="1">#REF!</definedName>
    <definedName name="SD_1x1_84x1_7_S_0" localSheetId="13" hidden="1">#REF!</definedName>
    <definedName name="SD_1x1_84x1_7_S_0" localSheetId="9" hidden="1">#REF!</definedName>
    <definedName name="SD_1x1_84x1_7_S_0" localSheetId="17" hidden="1">#REF!</definedName>
    <definedName name="SD_1x1_84x1_7_S_0" hidden="1">#REF!</definedName>
    <definedName name="SD_1x1_84x1_9_S_0" localSheetId="4" hidden="1">#REF!</definedName>
    <definedName name="SD_1x1_84x1_9_S_0" localSheetId="15" hidden="1">#REF!</definedName>
    <definedName name="SD_1x1_84x1_9_S_0" localSheetId="14" hidden="1">#REF!</definedName>
    <definedName name="SD_1x1_84x1_9_S_0" localSheetId="3" hidden="1">#REF!</definedName>
    <definedName name="SD_1x1_84x1_9_S_0" localSheetId="12" hidden="1">#REF!</definedName>
    <definedName name="SD_1x1_84x1_9_S_0" localSheetId="11" hidden="1">#REF!</definedName>
    <definedName name="SD_1x1_84x1_9_S_0" localSheetId="6" hidden="1">#REF!</definedName>
    <definedName name="SD_1x1_84x1_9_S_0" localSheetId="8" hidden="1">#REF!</definedName>
    <definedName name="SD_1x1_84x1_9_S_0" localSheetId="13" hidden="1">#REF!</definedName>
    <definedName name="SD_1x1_84x1_9_S_0" localSheetId="9" hidden="1">#REF!</definedName>
    <definedName name="SD_1x1_84x1_9_S_0" localSheetId="17" hidden="1">#REF!</definedName>
    <definedName name="SD_1x1_84x1_9_S_0" hidden="1">#REF!</definedName>
    <definedName name="SD_1x1_84x2_1_S_0" localSheetId="4" hidden="1">#REF!</definedName>
    <definedName name="SD_1x1_84x2_1_S_0" localSheetId="15" hidden="1">#REF!</definedName>
    <definedName name="SD_1x1_84x2_1_S_0" localSheetId="14" hidden="1">#REF!</definedName>
    <definedName name="SD_1x1_84x2_1_S_0" localSheetId="3" hidden="1">#REF!</definedName>
    <definedName name="SD_1x1_84x2_1_S_0" localSheetId="12" hidden="1">#REF!</definedName>
    <definedName name="SD_1x1_84x2_1_S_0" localSheetId="11" hidden="1">#REF!</definedName>
    <definedName name="SD_1x1_84x2_1_S_0" localSheetId="6" hidden="1">#REF!</definedName>
    <definedName name="SD_1x1_84x2_1_S_0" localSheetId="8" hidden="1">#REF!</definedName>
    <definedName name="SD_1x1_84x2_1_S_0" localSheetId="13" hidden="1">#REF!</definedName>
    <definedName name="SD_1x1_84x2_1_S_0" localSheetId="9" hidden="1">#REF!</definedName>
    <definedName name="SD_1x1_84x2_1_S_0" localSheetId="17" hidden="1">#REF!</definedName>
    <definedName name="SD_1x1_84x2_1_S_0" hidden="1">#REF!</definedName>
    <definedName name="SD_1x1_84x2_11_S_0" localSheetId="4" hidden="1">#REF!</definedName>
    <definedName name="SD_1x1_84x2_11_S_0" localSheetId="15" hidden="1">#REF!</definedName>
    <definedName name="SD_1x1_84x2_11_S_0" localSheetId="14" hidden="1">#REF!</definedName>
    <definedName name="SD_1x1_84x2_11_S_0" localSheetId="3" hidden="1">#REF!</definedName>
    <definedName name="SD_1x1_84x2_11_S_0" localSheetId="12" hidden="1">#REF!</definedName>
    <definedName name="SD_1x1_84x2_11_S_0" localSheetId="11" hidden="1">#REF!</definedName>
    <definedName name="SD_1x1_84x2_11_S_0" localSheetId="6" hidden="1">#REF!</definedName>
    <definedName name="SD_1x1_84x2_11_S_0" localSheetId="8" hidden="1">#REF!</definedName>
    <definedName name="SD_1x1_84x2_11_S_0" localSheetId="13" hidden="1">#REF!</definedName>
    <definedName name="SD_1x1_84x2_11_S_0" localSheetId="9" hidden="1">#REF!</definedName>
    <definedName name="SD_1x1_84x2_11_S_0" localSheetId="17" hidden="1">#REF!</definedName>
    <definedName name="SD_1x1_84x2_11_S_0" hidden="1">#REF!</definedName>
    <definedName name="SD_1x1_84x2_12_S_0" localSheetId="4" hidden="1">#REF!</definedName>
    <definedName name="SD_1x1_84x2_12_S_0" localSheetId="15" hidden="1">#REF!</definedName>
    <definedName name="SD_1x1_84x2_12_S_0" localSheetId="14" hidden="1">#REF!</definedName>
    <definedName name="SD_1x1_84x2_12_S_0" localSheetId="3" hidden="1">#REF!</definedName>
    <definedName name="SD_1x1_84x2_12_S_0" localSheetId="12" hidden="1">#REF!</definedName>
    <definedName name="SD_1x1_84x2_12_S_0" localSheetId="11" hidden="1">#REF!</definedName>
    <definedName name="SD_1x1_84x2_12_S_0" localSheetId="6" hidden="1">#REF!</definedName>
    <definedName name="SD_1x1_84x2_12_S_0" localSheetId="8" hidden="1">#REF!</definedName>
    <definedName name="SD_1x1_84x2_12_S_0" localSheetId="13" hidden="1">#REF!</definedName>
    <definedName name="SD_1x1_84x2_12_S_0" localSheetId="9" hidden="1">#REF!</definedName>
    <definedName name="SD_1x1_84x2_12_S_0" localSheetId="17" hidden="1">#REF!</definedName>
    <definedName name="SD_1x1_84x2_12_S_0" hidden="1">#REF!</definedName>
    <definedName name="SD_1x1_84x2_3_S_0" localSheetId="4" hidden="1">#REF!</definedName>
    <definedName name="SD_1x1_84x2_3_S_0" localSheetId="15" hidden="1">#REF!</definedName>
    <definedName name="SD_1x1_84x2_3_S_0" localSheetId="14" hidden="1">#REF!</definedName>
    <definedName name="SD_1x1_84x2_3_S_0" localSheetId="3" hidden="1">#REF!</definedName>
    <definedName name="SD_1x1_84x2_3_S_0" localSheetId="12" hidden="1">#REF!</definedName>
    <definedName name="SD_1x1_84x2_3_S_0" localSheetId="11" hidden="1">#REF!</definedName>
    <definedName name="SD_1x1_84x2_3_S_0" localSheetId="6" hidden="1">#REF!</definedName>
    <definedName name="SD_1x1_84x2_3_S_0" localSheetId="8" hidden="1">#REF!</definedName>
    <definedName name="SD_1x1_84x2_3_S_0" localSheetId="13" hidden="1">#REF!</definedName>
    <definedName name="SD_1x1_84x2_3_S_0" localSheetId="9" hidden="1">#REF!</definedName>
    <definedName name="SD_1x1_84x2_3_S_0" localSheetId="17" hidden="1">#REF!</definedName>
    <definedName name="SD_1x1_84x2_3_S_0" hidden="1">#REF!</definedName>
    <definedName name="SD_1x1_84x2_5_S_0" localSheetId="4" hidden="1">#REF!</definedName>
    <definedName name="SD_1x1_84x2_5_S_0" localSheetId="15" hidden="1">#REF!</definedName>
    <definedName name="SD_1x1_84x2_5_S_0" localSheetId="14" hidden="1">#REF!</definedName>
    <definedName name="SD_1x1_84x2_5_S_0" localSheetId="3" hidden="1">#REF!</definedName>
    <definedName name="SD_1x1_84x2_5_S_0" localSheetId="12" hidden="1">#REF!</definedName>
    <definedName name="SD_1x1_84x2_5_S_0" localSheetId="11" hidden="1">#REF!</definedName>
    <definedName name="SD_1x1_84x2_5_S_0" localSheetId="6" hidden="1">#REF!</definedName>
    <definedName name="SD_1x1_84x2_5_S_0" localSheetId="8" hidden="1">#REF!</definedName>
    <definedName name="SD_1x1_84x2_5_S_0" localSheetId="13" hidden="1">#REF!</definedName>
    <definedName name="SD_1x1_84x2_5_S_0" localSheetId="9" hidden="1">#REF!</definedName>
    <definedName name="SD_1x1_84x2_5_S_0" localSheetId="17" hidden="1">#REF!</definedName>
    <definedName name="SD_1x1_84x2_5_S_0" hidden="1">#REF!</definedName>
    <definedName name="SD_1x1_84x2_6_S_152" localSheetId="4" hidden="1">#REF!</definedName>
    <definedName name="SD_1x1_84x2_6_S_152" localSheetId="15" hidden="1">#REF!</definedName>
    <definedName name="SD_1x1_84x2_6_S_152" localSheetId="14" hidden="1">#REF!</definedName>
    <definedName name="SD_1x1_84x2_6_S_152" localSheetId="3" hidden="1">#REF!</definedName>
    <definedName name="SD_1x1_84x2_6_S_152" localSheetId="12" hidden="1">#REF!</definedName>
    <definedName name="SD_1x1_84x2_6_S_152" localSheetId="11" hidden="1">#REF!</definedName>
    <definedName name="SD_1x1_84x2_6_S_152" localSheetId="6" hidden="1">#REF!</definedName>
    <definedName name="SD_1x1_84x2_6_S_152" localSheetId="8" hidden="1">#REF!</definedName>
    <definedName name="SD_1x1_84x2_6_S_152" localSheetId="13" hidden="1">#REF!</definedName>
    <definedName name="SD_1x1_84x2_6_S_152" localSheetId="9" hidden="1">#REF!</definedName>
    <definedName name="SD_1x1_84x2_6_S_152" localSheetId="17" hidden="1">#REF!</definedName>
    <definedName name="SD_1x1_84x2_6_S_152" hidden="1">#REF!</definedName>
    <definedName name="SD_1x1_84x2_7_S_0" localSheetId="4" hidden="1">#REF!</definedName>
    <definedName name="SD_1x1_84x2_7_S_0" localSheetId="15" hidden="1">#REF!</definedName>
    <definedName name="SD_1x1_84x2_7_S_0" localSheetId="14" hidden="1">#REF!</definedName>
    <definedName name="SD_1x1_84x2_7_S_0" localSheetId="3" hidden="1">#REF!</definedName>
    <definedName name="SD_1x1_84x2_7_S_0" localSheetId="12" hidden="1">#REF!</definedName>
    <definedName name="SD_1x1_84x2_7_S_0" localSheetId="11" hidden="1">#REF!</definedName>
    <definedName name="SD_1x1_84x2_7_S_0" localSheetId="6" hidden="1">#REF!</definedName>
    <definedName name="SD_1x1_84x2_7_S_0" localSheetId="8" hidden="1">#REF!</definedName>
    <definedName name="SD_1x1_84x2_7_S_0" localSheetId="13" hidden="1">#REF!</definedName>
    <definedName name="SD_1x1_84x2_7_S_0" localSheetId="9" hidden="1">#REF!</definedName>
    <definedName name="SD_1x1_84x2_7_S_0" localSheetId="17" hidden="1">#REF!</definedName>
    <definedName name="SD_1x1_84x2_7_S_0" hidden="1">#REF!</definedName>
    <definedName name="SD_1x1_84x2_9_S_0" localSheetId="4" hidden="1">#REF!</definedName>
    <definedName name="SD_1x1_84x2_9_S_0" localSheetId="15" hidden="1">#REF!</definedName>
    <definedName name="SD_1x1_84x2_9_S_0" localSheetId="14" hidden="1">#REF!</definedName>
    <definedName name="SD_1x1_84x2_9_S_0" localSheetId="3" hidden="1">#REF!</definedName>
    <definedName name="SD_1x1_84x2_9_S_0" localSheetId="12" hidden="1">#REF!</definedName>
    <definedName name="SD_1x1_84x2_9_S_0" localSheetId="11" hidden="1">#REF!</definedName>
    <definedName name="SD_1x1_84x2_9_S_0" localSheetId="6" hidden="1">#REF!</definedName>
    <definedName name="SD_1x1_84x2_9_S_0" localSheetId="8" hidden="1">#REF!</definedName>
    <definedName name="SD_1x1_84x2_9_S_0" localSheetId="13" hidden="1">#REF!</definedName>
    <definedName name="SD_1x1_84x2_9_S_0" localSheetId="9" hidden="1">#REF!</definedName>
    <definedName name="SD_1x1_84x2_9_S_0" localSheetId="17" hidden="1">#REF!</definedName>
    <definedName name="SD_1x1_84x2_9_S_0" hidden="1">#REF!</definedName>
    <definedName name="SD_1x1_89x1_1_S_0" localSheetId="4" hidden="1">#REF!</definedName>
    <definedName name="SD_1x1_89x1_1_S_0" localSheetId="15" hidden="1">#REF!</definedName>
    <definedName name="SD_1x1_89x1_1_S_0" localSheetId="14" hidden="1">#REF!</definedName>
    <definedName name="SD_1x1_89x1_1_S_0" localSheetId="3" hidden="1">#REF!</definedName>
    <definedName name="SD_1x1_89x1_1_S_0" localSheetId="12" hidden="1">#REF!</definedName>
    <definedName name="SD_1x1_89x1_1_S_0" localSheetId="11" hidden="1">#REF!</definedName>
    <definedName name="SD_1x1_89x1_1_S_0" localSheetId="6" hidden="1">#REF!</definedName>
    <definedName name="SD_1x1_89x1_1_S_0" localSheetId="8" hidden="1">#REF!</definedName>
    <definedName name="SD_1x1_89x1_1_S_0" localSheetId="13" hidden="1">#REF!</definedName>
    <definedName name="SD_1x1_89x1_1_S_0" localSheetId="9" hidden="1">#REF!</definedName>
    <definedName name="SD_1x1_89x1_1_S_0" localSheetId="17" hidden="1">#REF!</definedName>
    <definedName name="SD_1x1_89x1_1_S_0" hidden="1">#REF!</definedName>
    <definedName name="SD_1x1_89x1_11_S_0" localSheetId="4" hidden="1">#REF!</definedName>
    <definedName name="SD_1x1_89x1_11_S_0" localSheetId="15" hidden="1">#REF!</definedName>
    <definedName name="SD_1x1_89x1_11_S_0" localSheetId="14" hidden="1">#REF!</definedName>
    <definedName name="SD_1x1_89x1_11_S_0" localSheetId="3" hidden="1">#REF!</definedName>
    <definedName name="SD_1x1_89x1_11_S_0" localSheetId="12" hidden="1">#REF!</definedName>
    <definedName name="SD_1x1_89x1_11_S_0" localSheetId="11" hidden="1">#REF!</definedName>
    <definedName name="SD_1x1_89x1_11_S_0" localSheetId="6" hidden="1">#REF!</definedName>
    <definedName name="SD_1x1_89x1_11_S_0" localSheetId="8" hidden="1">#REF!</definedName>
    <definedName name="SD_1x1_89x1_11_S_0" localSheetId="13" hidden="1">#REF!</definedName>
    <definedName name="SD_1x1_89x1_11_S_0" localSheetId="9" hidden="1">#REF!</definedName>
    <definedName name="SD_1x1_89x1_11_S_0" localSheetId="17" hidden="1">#REF!</definedName>
    <definedName name="SD_1x1_89x1_11_S_0" hidden="1">#REF!</definedName>
    <definedName name="SD_1x1_89x1_12_S_0" localSheetId="4" hidden="1">#REF!</definedName>
    <definedName name="SD_1x1_89x1_12_S_0" localSheetId="15" hidden="1">#REF!</definedName>
    <definedName name="SD_1x1_89x1_12_S_0" localSheetId="14" hidden="1">#REF!</definedName>
    <definedName name="SD_1x1_89x1_12_S_0" localSheetId="3" hidden="1">#REF!</definedName>
    <definedName name="SD_1x1_89x1_12_S_0" localSheetId="12" hidden="1">#REF!</definedName>
    <definedName name="SD_1x1_89x1_12_S_0" localSheetId="11" hidden="1">#REF!</definedName>
    <definedName name="SD_1x1_89x1_12_S_0" localSheetId="6" hidden="1">#REF!</definedName>
    <definedName name="SD_1x1_89x1_12_S_0" localSheetId="8" hidden="1">#REF!</definedName>
    <definedName name="SD_1x1_89x1_12_S_0" localSheetId="13" hidden="1">#REF!</definedName>
    <definedName name="SD_1x1_89x1_12_S_0" localSheetId="9" hidden="1">#REF!</definedName>
    <definedName name="SD_1x1_89x1_12_S_0" localSheetId="17" hidden="1">#REF!</definedName>
    <definedName name="SD_1x1_89x1_12_S_0" hidden="1">#REF!</definedName>
    <definedName name="SD_1x1_89x1_3_S_0" localSheetId="4" hidden="1">#REF!</definedName>
    <definedName name="SD_1x1_89x1_3_S_0" localSheetId="15" hidden="1">#REF!</definedName>
    <definedName name="SD_1x1_89x1_3_S_0" localSheetId="14" hidden="1">#REF!</definedName>
    <definedName name="SD_1x1_89x1_3_S_0" localSheetId="3" hidden="1">#REF!</definedName>
    <definedName name="SD_1x1_89x1_3_S_0" localSheetId="12" hidden="1">#REF!</definedName>
    <definedName name="SD_1x1_89x1_3_S_0" localSheetId="11" hidden="1">#REF!</definedName>
    <definedName name="SD_1x1_89x1_3_S_0" localSheetId="6" hidden="1">#REF!</definedName>
    <definedName name="SD_1x1_89x1_3_S_0" localSheetId="8" hidden="1">#REF!</definedName>
    <definedName name="SD_1x1_89x1_3_S_0" localSheetId="13" hidden="1">#REF!</definedName>
    <definedName name="SD_1x1_89x1_3_S_0" localSheetId="9" hidden="1">#REF!</definedName>
    <definedName name="SD_1x1_89x1_3_S_0" localSheetId="17" hidden="1">#REF!</definedName>
    <definedName name="SD_1x1_89x1_3_S_0" hidden="1">#REF!</definedName>
    <definedName name="SD_1x1_89x1_5_S_0" localSheetId="4" hidden="1">#REF!</definedName>
    <definedName name="SD_1x1_89x1_5_S_0" localSheetId="15" hidden="1">#REF!</definedName>
    <definedName name="SD_1x1_89x1_5_S_0" localSheetId="14" hidden="1">#REF!</definedName>
    <definedName name="SD_1x1_89x1_5_S_0" localSheetId="3" hidden="1">#REF!</definedName>
    <definedName name="SD_1x1_89x1_5_S_0" localSheetId="12" hidden="1">#REF!</definedName>
    <definedName name="SD_1x1_89x1_5_S_0" localSheetId="11" hidden="1">#REF!</definedName>
    <definedName name="SD_1x1_89x1_5_S_0" localSheetId="6" hidden="1">#REF!</definedName>
    <definedName name="SD_1x1_89x1_5_S_0" localSheetId="8" hidden="1">#REF!</definedName>
    <definedName name="SD_1x1_89x1_5_S_0" localSheetId="13" hidden="1">#REF!</definedName>
    <definedName name="SD_1x1_89x1_5_S_0" localSheetId="9" hidden="1">#REF!</definedName>
    <definedName name="SD_1x1_89x1_5_S_0" localSheetId="17" hidden="1">#REF!</definedName>
    <definedName name="SD_1x1_89x1_5_S_0" hidden="1">#REF!</definedName>
    <definedName name="SD_1x1_89x1_6_S_152" localSheetId="4" hidden="1">#REF!</definedName>
    <definedName name="SD_1x1_89x1_6_S_152" localSheetId="15" hidden="1">#REF!</definedName>
    <definedName name="SD_1x1_89x1_6_S_152" localSheetId="14" hidden="1">#REF!</definedName>
    <definedName name="SD_1x1_89x1_6_S_152" localSheetId="3" hidden="1">#REF!</definedName>
    <definedName name="SD_1x1_89x1_6_S_152" localSheetId="12" hidden="1">#REF!</definedName>
    <definedName name="SD_1x1_89x1_6_S_152" localSheetId="11" hidden="1">#REF!</definedName>
    <definedName name="SD_1x1_89x1_6_S_152" localSheetId="6" hidden="1">#REF!</definedName>
    <definedName name="SD_1x1_89x1_6_S_152" localSheetId="8" hidden="1">#REF!</definedName>
    <definedName name="SD_1x1_89x1_6_S_152" localSheetId="13" hidden="1">#REF!</definedName>
    <definedName name="SD_1x1_89x1_6_S_152" localSheetId="9" hidden="1">#REF!</definedName>
    <definedName name="SD_1x1_89x1_6_S_152" localSheetId="17" hidden="1">#REF!</definedName>
    <definedName name="SD_1x1_89x1_6_S_152" hidden="1">#REF!</definedName>
    <definedName name="SD_1x1_89x1_7_S_0" localSheetId="4" hidden="1">#REF!</definedName>
    <definedName name="SD_1x1_89x1_7_S_0" localSheetId="15" hidden="1">#REF!</definedName>
    <definedName name="SD_1x1_89x1_7_S_0" localSheetId="14" hidden="1">#REF!</definedName>
    <definedName name="SD_1x1_89x1_7_S_0" localSheetId="3" hidden="1">#REF!</definedName>
    <definedName name="SD_1x1_89x1_7_S_0" localSheetId="12" hidden="1">#REF!</definedName>
    <definedName name="SD_1x1_89x1_7_S_0" localSheetId="11" hidden="1">#REF!</definedName>
    <definedName name="SD_1x1_89x1_7_S_0" localSheetId="6" hidden="1">#REF!</definedName>
    <definedName name="SD_1x1_89x1_7_S_0" localSheetId="8" hidden="1">#REF!</definedName>
    <definedName name="SD_1x1_89x1_7_S_0" localSheetId="13" hidden="1">#REF!</definedName>
    <definedName name="SD_1x1_89x1_7_S_0" localSheetId="9" hidden="1">#REF!</definedName>
    <definedName name="SD_1x1_89x1_7_S_0" localSheetId="17" hidden="1">#REF!</definedName>
    <definedName name="SD_1x1_89x1_7_S_0" hidden="1">#REF!</definedName>
    <definedName name="SD_1x1_89x1_9_S_0" localSheetId="4" hidden="1">#REF!</definedName>
    <definedName name="SD_1x1_89x1_9_S_0" localSheetId="15" hidden="1">#REF!</definedName>
    <definedName name="SD_1x1_89x1_9_S_0" localSheetId="14" hidden="1">#REF!</definedName>
    <definedName name="SD_1x1_89x1_9_S_0" localSheetId="3" hidden="1">#REF!</definedName>
    <definedName name="SD_1x1_89x1_9_S_0" localSheetId="12" hidden="1">#REF!</definedName>
    <definedName name="SD_1x1_89x1_9_S_0" localSheetId="11" hidden="1">#REF!</definedName>
    <definedName name="SD_1x1_89x1_9_S_0" localSheetId="6" hidden="1">#REF!</definedName>
    <definedName name="SD_1x1_89x1_9_S_0" localSheetId="8" hidden="1">#REF!</definedName>
    <definedName name="SD_1x1_89x1_9_S_0" localSheetId="13" hidden="1">#REF!</definedName>
    <definedName name="SD_1x1_89x1_9_S_0" localSheetId="9" hidden="1">#REF!</definedName>
    <definedName name="SD_1x1_89x1_9_S_0" localSheetId="17" hidden="1">#REF!</definedName>
    <definedName name="SD_1x1_89x1_9_S_0" hidden="1">#REF!</definedName>
    <definedName name="SD_1x1_93x1_10_S_0" localSheetId="4" hidden="1">#REF!</definedName>
    <definedName name="SD_1x1_93x1_10_S_0" localSheetId="14" hidden="1">#REF!</definedName>
    <definedName name="SD_1x1_93x1_10_S_0" localSheetId="3" hidden="1">#REF!</definedName>
    <definedName name="SD_1x1_93x1_10_S_0" localSheetId="12" hidden="1">#REF!</definedName>
    <definedName name="SD_1x1_93x1_10_S_0" localSheetId="11" hidden="1">#REF!</definedName>
    <definedName name="SD_1x1_93x1_10_S_0" localSheetId="8" hidden="1">#REF!</definedName>
    <definedName name="SD_1x1_93x1_10_S_0" localSheetId="13" hidden="1">#REF!</definedName>
    <definedName name="SD_1x1_93x1_10_S_0" localSheetId="9" hidden="1">#REF!</definedName>
    <definedName name="SD_1x1_93x1_10_S_0" localSheetId="17" hidden="1">#REF!</definedName>
    <definedName name="SD_1x1_93x1_10_S_0" hidden="1">#REF!</definedName>
    <definedName name="SD_1x1_93x1_12_S_0" localSheetId="4" hidden="1">#REF!</definedName>
    <definedName name="SD_1x1_93x1_12_S_0" localSheetId="14" hidden="1">#REF!</definedName>
    <definedName name="SD_1x1_93x1_12_S_0" localSheetId="3" hidden="1">#REF!</definedName>
    <definedName name="SD_1x1_93x1_12_S_0" localSheetId="12" hidden="1">#REF!</definedName>
    <definedName name="SD_1x1_93x1_12_S_0" localSheetId="11" hidden="1">#REF!</definedName>
    <definedName name="SD_1x1_93x1_12_S_0" localSheetId="8" hidden="1">#REF!</definedName>
    <definedName name="SD_1x1_93x1_12_S_0" localSheetId="13" hidden="1">#REF!</definedName>
    <definedName name="SD_1x1_93x1_12_S_0" localSheetId="9" hidden="1">#REF!</definedName>
    <definedName name="SD_1x1_93x1_12_S_0" localSheetId="17" hidden="1">#REF!</definedName>
    <definedName name="SD_1x1_93x1_12_S_0" hidden="1">#REF!</definedName>
    <definedName name="SD_1x1_93x1_25_S_7" localSheetId="4" hidden="1">#REF!</definedName>
    <definedName name="SD_1x1_93x1_25_S_7" localSheetId="14" hidden="1">#REF!</definedName>
    <definedName name="SD_1x1_93x1_25_S_7" localSheetId="3" hidden="1">#REF!</definedName>
    <definedName name="SD_1x1_93x1_25_S_7" localSheetId="12" hidden="1">#REF!</definedName>
    <definedName name="SD_1x1_93x1_25_S_7" localSheetId="11" hidden="1">#REF!</definedName>
    <definedName name="SD_1x1_93x1_25_S_7" localSheetId="8" hidden="1">#REF!</definedName>
    <definedName name="SD_1x1_93x1_25_S_7" localSheetId="13" hidden="1">#REF!</definedName>
    <definedName name="SD_1x1_93x1_25_S_7" localSheetId="9" hidden="1">#REF!</definedName>
    <definedName name="SD_1x1_93x1_25_S_7" localSheetId="17" hidden="1">#REF!</definedName>
    <definedName name="SD_1x1_93x1_25_S_7" hidden="1">#REF!</definedName>
    <definedName name="SD_1x1_93x1_26_S_86" localSheetId="4" hidden="1">#REF!</definedName>
    <definedName name="SD_1x1_93x1_26_S_86" localSheetId="14" hidden="1">#REF!</definedName>
    <definedName name="SD_1x1_93x1_26_S_86" localSheetId="3" hidden="1">#REF!</definedName>
    <definedName name="SD_1x1_93x1_26_S_86" localSheetId="12" hidden="1">#REF!</definedName>
    <definedName name="SD_1x1_93x1_26_S_86" localSheetId="11" hidden="1">#REF!</definedName>
    <definedName name="SD_1x1_93x1_26_S_86" localSheetId="8" hidden="1">#REF!</definedName>
    <definedName name="SD_1x1_93x1_26_S_86" localSheetId="13" hidden="1">#REF!</definedName>
    <definedName name="SD_1x1_93x1_26_S_86" localSheetId="9" hidden="1">#REF!</definedName>
    <definedName name="SD_1x1_93x1_26_S_86" localSheetId="17" hidden="1">#REF!</definedName>
    <definedName name="SD_1x1_93x1_26_S_86" hidden="1">#REF!</definedName>
    <definedName name="SD_1x1_93x1_27_S_148" localSheetId="4" hidden="1">#REF!</definedName>
    <definedName name="SD_1x1_93x1_27_S_148" localSheetId="14" hidden="1">#REF!</definedName>
    <definedName name="SD_1x1_93x1_27_S_148" localSheetId="3" hidden="1">#REF!</definedName>
    <definedName name="SD_1x1_93x1_27_S_148" localSheetId="12" hidden="1">#REF!</definedName>
    <definedName name="SD_1x1_93x1_27_S_148" localSheetId="11" hidden="1">#REF!</definedName>
    <definedName name="SD_1x1_93x1_27_S_148" localSheetId="8" hidden="1">#REF!</definedName>
    <definedName name="SD_1x1_93x1_27_S_148" localSheetId="13" hidden="1">#REF!</definedName>
    <definedName name="SD_1x1_93x1_27_S_148" localSheetId="9" hidden="1">#REF!</definedName>
    <definedName name="SD_1x1_93x1_27_S_148" localSheetId="17" hidden="1">#REF!</definedName>
    <definedName name="SD_1x1_93x1_27_S_148" hidden="1">#REF!</definedName>
    <definedName name="SD_1x1_93x1_30_S_0" localSheetId="4" hidden="1">#REF!</definedName>
    <definedName name="SD_1x1_93x1_30_S_0" localSheetId="14" hidden="1">#REF!</definedName>
    <definedName name="SD_1x1_93x1_30_S_0" localSheetId="3" hidden="1">#REF!</definedName>
    <definedName name="SD_1x1_93x1_30_S_0" localSheetId="12" hidden="1">#REF!</definedName>
    <definedName name="SD_1x1_93x1_30_S_0" localSheetId="11" hidden="1">#REF!</definedName>
    <definedName name="SD_1x1_93x1_30_S_0" localSheetId="8" hidden="1">#REF!</definedName>
    <definedName name="SD_1x1_93x1_30_S_0" localSheetId="13" hidden="1">#REF!</definedName>
    <definedName name="SD_1x1_93x1_30_S_0" localSheetId="9" hidden="1">#REF!</definedName>
    <definedName name="SD_1x1_93x1_30_S_0" localSheetId="17" hidden="1">#REF!</definedName>
    <definedName name="SD_1x1_93x1_30_S_0" hidden="1">#REF!</definedName>
    <definedName name="SD_1x1_93x1_42_S_0" localSheetId="4" hidden="1">#REF!</definedName>
    <definedName name="SD_1x1_93x1_42_S_0" localSheetId="14" hidden="1">#REF!</definedName>
    <definedName name="SD_1x1_93x1_42_S_0" localSheetId="3" hidden="1">#REF!</definedName>
    <definedName name="SD_1x1_93x1_42_S_0" localSheetId="12" hidden="1">#REF!</definedName>
    <definedName name="SD_1x1_93x1_42_S_0" localSheetId="11" hidden="1">#REF!</definedName>
    <definedName name="SD_1x1_93x1_42_S_0" localSheetId="8" hidden="1">#REF!</definedName>
    <definedName name="SD_1x1_93x1_42_S_0" localSheetId="13" hidden="1">#REF!</definedName>
    <definedName name="SD_1x1_93x1_42_S_0" localSheetId="9" hidden="1">#REF!</definedName>
    <definedName name="SD_1x1_93x1_42_S_0" localSheetId="17" hidden="1">#REF!</definedName>
    <definedName name="SD_1x1_93x1_42_S_0" hidden="1">#REF!</definedName>
    <definedName name="SD_1x1_93x1_8_S_0" localSheetId="4" hidden="1">#REF!</definedName>
    <definedName name="SD_1x1_93x1_8_S_0" localSheetId="14" hidden="1">#REF!</definedName>
    <definedName name="SD_1x1_93x1_8_S_0" localSheetId="3" hidden="1">#REF!</definedName>
    <definedName name="SD_1x1_93x1_8_S_0" localSheetId="12" hidden="1">#REF!</definedName>
    <definedName name="SD_1x1_93x1_8_S_0" localSheetId="11" hidden="1">#REF!</definedName>
    <definedName name="SD_1x1_93x1_8_S_0" localSheetId="8" hidden="1">#REF!</definedName>
    <definedName name="SD_1x1_93x1_8_S_0" localSheetId="13" hidden="1">#REF!</definedName>
    <definedName name="SD_1x1_93x1_8_S_0" localSheetId="9" hidden="1">#REF!</definedName>
    <definedName name="SD_1x1_93x1_8_S_0" localSheetId="17" hidden="1">#REF!</definedName>
    <definedName name="SD_1x1_93x1_8_S_0" hidden="1">#REF!</definedName>
    <definedName name="SD_Dropdown_148_Name" localSheetId="16" hidden="1">[3]SD_Dropdowns!$C$2:$C$41</definedName>
    <definedName name="SD_Dropdown_148_Name" localSheetId="4" hidden="1">[4]SD_Dropdowns!$C$2:$C$41</definedName>
    <definedName name="SD_Dropdown_148_Name" localSheetId="15" hidden="1">[4]SD_Dropdowns!$C$2:$C$41</definedName>
    <definedName name="SD_Dropdown_148_Name" localSheetId="14" hidden="1">[5]SD_Dropdowns!$C$2:$C$41</definedName>
    <definedName name="SD_Dropdown_148_Name" localSheetId="3" hidden="1">[4]SD_Dropdowns!$C$2:$C$41</definedName>
    <definedName name="SD_Dropdown_148_Name" localSheetId="12" hidden="1">[5]SD_Dropdowns!$C$2:$C$41</definedName>
    <definedName name="SD_Dropdown_148_Name" localSheetId="11" hidden="1">[5]SD_Dropdowns!$C$2:$C$41</definedName>
    <definedName name="SD_Dropdown_148_Name" localSheetId="10" hidden="1">[6]SD_Dropdowns!$C$2:$C$41</definedName>
    <definedName name="SD_Dropdown_148_Name" localSheetId="6" hidden="1">[4]SD_Dropdowns!$C$2:$C$41</definedName>
    <definedName name="SD_Dropdown_148_Name" localSheetId="8" hidden="1">[5]SD_Dropdowns!$C$2:$C$41</definedName>
    <definedName name="SD_Dropdown_148_Name" localSheetId="13" hidden="1">[5]SD_Dropdowns!$C$2:$C$41</definedName>
    <definedName name="SD_Dropdown_148_Name" localSheetId="9" hidden="1">[5]SD_Dropdowns!$C$2:$C$41</definedName>
    <definedName name="SD_Dropdown_148_Name" localSheetId="17" hidden="1">[7]SD_Dropdowns!$C$2:$C$41</definedName>
    <definedName name="SD_Dropdown_148_Name" hidden="1">[8]SD_Dropdowns!$C$2:$C$41</definedName>
    <definedName name="SD_Dropdown_152_Name" localSheetId="16" hidden="1">[3]SD_Dropdowns!$G$2:$G$53</definedName>
    <definedName name="SD_Dropdown_152_Name" localSheetId="4" hidden="1">[4]SD_Dropdowns!$G$2:$G$53</definedName>
    <definedName name="SD_Dropdown_152_Name" localSheetId="15" hidden="1">[4]SD_Dropdowns!$G$2:$G$53</definedName>
    <definedName name="SD_Dropdown_152_Name" localSheetId="14" hidden="1">[5]SD_Dropdowns!$G$2:$G$53</definedName>
    <definedName name="SD_Dropdown_152_Name" localSheetId="3" hidden="1">[4]SD_Dropdowns!$G$2:$G$53</definedName>
    <definedName name="SD_Dropdown_152_Name" localSheetId="12" hidden="1">[5]SD_Dropdowns!$G$2:$G$53</definedName>
    <definedName name="SD_Dropdown_152_Name" localSheetId="11" hidden="1">[5]SD_Dropdowns!$G$2:$G$53</definedName>
    <definedName name="SD_Dropdown_152_Name" localSheetId="10" hidden="1">[6]SD_Dropdowns!$G$2:$G$53</definedName>
    <definedName name="SD_Dropdown_152_Name" localSheetId="6" hidden="1">[4]SD_Dropdowns!$G$2:$G$53</definedName>
    <definedName name="SD_Dropdown_152_Name" localSheetId="8" hidden="1">[5]SD_Dropdowns!$G$2:$G$53</definedName>
    <definedName name="SD_Dropdown_152_Name" localSheetId="13" hidden="1">[5]SD_Dropdowns!$G$2:$G$53</definedName>
    <definedName name="SD_Dropdown_152_Name" localSheetId="9" hidden="1">[5]SD_Dropdowns!$G$2:$G$53</definedName>
    <definedName name="SD_Dropdown_152_Name" localSheetId="17" hidden="1">[7]SD_Dropdowns!$G$2:$G$53</definedName>
    <definedName name="SD_Dropdown_152_Name" hidden="1">[8]SD_Dropdowns!$G$2:$G$53</definedName>
    <definedName name="SD_Dropdown_7_Name" localSheetId="16" hidden="1">[3]SD_Dropdowns!$E$2:$E$82</definedName>
    <definedName name="SD_Dropdown_7_Name" localSheetId="4" hidden="1">[4]SD_Dropdowns!$E$2:$E$82</definedName>
    <definedName name="SD_Dropdown_7_Name" localSheetId="15" hidden="1">[4]SD_Dropdowns!$E$2:$E$82</definedName>
    <definedName name="SD_Dropdown_7_Name" localSheetId="14" hidden="1">[5]SD_Dropdowns!$E$2:$E$82</definedName>
    <definedName name="SD_Dropdown_7_Name" localSheetId="3" hidden="1">[4]SD_Dropdowns!$E$2:$E$82</definedName>
    <definedName name="SD_Dropdown_7_Name" localSheetId="12" hidden="1">[5]SD_Dropdowns!$E$2:$E$82</definedName>
    <definedName name="SD_Dropdown_7_Name" localSheetId="11" hidden="1">[5]SD_Dropdowns!$E$2:$E$82</definedName>
    <definedName name="SD_Dropdown_7_Name" localSheetId="10" hidden="1">[6]SD_Dropdowns!$E$2:$E$82</definedName>
    <definedName name="SD_Dropdown_7_Name" localSheetId="6" hidden="1">[4]SD_Dropdowns!$E$2:$E$82</definedName>
    <definedName name="SD_Dropdown_7_Name" localSheetId="8" hidden="1">[5]SD_Dropdowns!$E$2:$E$82</definedName>
    <definedName name="SD_Dropdown_7_Name" localSheetId="13" hidden="1">[5]SD_Dropdowns!$E$2:$E$82</definedName>
    <definedName name="SD_Dropdown_7_Name" localSheetId="9" hidden="1">[5]SD_Dropdowns!$E$2:$E$82</definedName>
    <definedName name="SD_Dropdown_7_Name" localSheetId="17" hidden="1">[7]SD_Dropdowns!$E$2:$E$82</definedName>
    <definedName name="SD_Dropdown_7_Name" hidden="1">[8]SD_Dropdowns!$E$2:$E$82</definedName>
    <definedName name="SD_Dropdown_86_Name" localSheetId="16" hidden="1">[3]SD_Dropdowns!$A$2:$A$53</definedName>
    <definedName name="SD_Dropdown_86_Name" localSheetId="4" hidden="1">[4]SD_Dropdowns!$A$2:$A$53</definedName>
    <definedName name="SD_Dropdown_86_Name" localSheetId="15" hidden="1">[4]SD_Dropdowns!$A$2:$A$53</definedName>
    <definedName name="SD_Dropdown_86_Name" localSheetId="14" hidden="1">[5]SD_Dropdowns!$A$2:$A$53</definedName>
    <definedName name="SD_Dropdown_86_Name" localSheetId="3" hidden="1">[4]SD_Dropdowns!$A$2:$A$53</definedName>
    <definedName name="SD_Dropdown_86_Name" localSheetId="12" hidden="1">[5]SD_Dropdowns!$A$2:$A$53</definedName>
    <definedName name="SD_Dropdown_86_Name" localSheetId="11" hidden="1">[5]SD_Dropdowns!$A$2:$A$53</definedName>
    <definedName name="SD_Dropdown_86_Name" localSheetId="10" hidden="1">[6]SD_Dropdowns!$A$2:$A$53</definedName>
    <definedName name="SD_Dropdown_86_Name" localSheetId="6" hidden="1">[4]SD_Dropdowns!$A$2:$A$53</definedName>
    <definedName name="SD_Dropdown_86_Name" localSheetId="8" hidden="1">[5]SD_Dropdowns!$A$2:$A$53</definedName>
    <definedName name="SD_Dropdown_86_Name" localSheetId="13" hidden="1">[5]SD_Dropdowns!$A$2:$A$53</definedName>
    <definedName name="SD_Dropdown_86_Name" localSheetId="9" hidden="1">[5]SD_Dropdowns!$A$2:$A$53</definedName>
    <definedName name="SD_Dropdown_86_Name" localSheetId="17" hidden="1">[7]SD_Dropdowns!$A$2:$A$53</definedName>
    <definedName name="SD_Dropdown_86_Name" hidden="1">[8]SD_Dropdowns!$A$2:$A$53</definedName>
    <definedName name="wrn.Board._.Commitment._.Package." localSheetId="16"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1"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0"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3"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 localSheetId="17"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6"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1"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0"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3"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_1" localSheetId="17"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6"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5"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4"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3"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2"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1"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0"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6"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8"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3"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9" hidden="1">{"Project Summary",#N/A,FALSE,"Project Summary";"Rent Summary",#N/A,FALSE,"Rent Summary";"Operating Budget Detail",#N/A,FALSE,"Operations";"Operating Budget Summary",#N/A,FALSE,"Operations";"Sources and Uses",#N/A,FALSE,"Sources &amp; Uses";"Cash Flow",#N/A,FALSE,"Cash Flow"}</definedName>
    <definedName name="wrn.Board._.Commitment._.Package.X" localSheetId="17"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16" hidden="1">{"Cash Flow",#N/A,FALSE,"Cash Flow"}</definedName>
    <definedName name="wrn.Cash._.Flow." localSheetId="4" hidden="1">{"Cash Flow",#N/A,FALSE,"Cash Flow"}</definedName>
    <definedName name="wrn.Cash._.Flow." localSheetId="15" hidden="1">{"Cash Flow",#N/A,FALSE,"Cash Flow"}</definedName>
    <definedName name="wrn.Cash._.Flow." localSheetId="14" hidden="1">{"Cash Flow",#N/A,FALSE,"Cash Flow"}</definedName>
    <definedName name="wrn.Cash._.Flow." localSheetId="3" hidden="1">{"Cash Flow",#N/A,FALSE,"Cash Flow"}</definedName>
    <definedName name="wrn.Cash._.Flow." localSheetId="12" hidden="1">{"Cash Flow",#N/A,FALSE,"Cash Flow"}</definedName>
    <definedName name="wrn.Cash._.Flow." localSheetId="11" hidden="1">{"Cash Flow",#N/A,FALSE,"Cash Flow"}</definedName>
    <definedName name="wrn.Cash._.Flow." localSheetId="10" hidden="1">{"Cash Flow",#N/A,FALSE,"Cash Flow"}</definedName>
    <definedName name="wrn.Cash._.Flow." localSheetId="6" hidden="1">{"Cash Flow",#N/A,FALSE,"Cash Flow"}</definedName>
    <definedName name="wrn.Cash._.Flow." localSheetId="8" hidden="1">{"Cash Flow",#N/A,FALSE,"Cash Flow"}</definedName>
    <definedName name="wrn.Cash._.Flow." localSheetId="13" hidden="1">{"Cash Flow",#N/A,FALSE,"Cash Flow"}</definedName>
    <definedName name="wrn.Cash._.Flow." localSheetId="9" hidden="1">{"Cash Flow",#N/A,FALSE,"Cash Flow"}</definedName>
    <definedName name="wrn.Cash._.Flow." localSheetId="17" hidden="1">{"Cash Flow",#N/A,FALSE,"Cash Flow"}</definedName>
    <definedName name="wrn.Cash._.Flow." hidden="1">{"Cash Flow",#N/A,FALSE,"Cash Flow"}</definedName>
    <definedName name="wrn.Cash._.Flow._1" localSheetId="16" hidden="1">{"Cash Flow",#N/A,FALSE,"Cash Flow"}</definedName>
    <definedName name="wrn.Cash._.Flow._1" localSheetId="4" hidden="1">{"Cash Flow",#N/A,FALSE,"Cash Flow"}</definedName>
    <definedName name="wrn.Cash._.Flow._1" localSheetId="15" hidden="1">{"Cash Flow",#N/A,FALSE,"Cash Flow"}</definedName>
    <definedName name="wrn.Cash._.Flow._1" localSheetId="14" hidden="1">{"Cash Flow",#N/A,FALSE,"Cash Flow"}</definedName>
    <definedName name="wrn.Cash._.Flow._1" localSheetId="3" hidden="1">{"Cash Flow",#N/A,FALSE,"Cash Flow"}</definedName>
    <definedName name="wrn.Cash._.Flow._1" localSheetId="12" hidden="1">{"Cash Flow",#N/A,FALSE,"Cash Flow"}</definedName>
    <definedName name="wrn.Cash._.Flow._1" localSheetId="11" hidden="1">{"Cash Flow",#N/A,FALSE,"Cash Flow"}</definedName>
    <definedName name="wrn.Cash._.Flow._1" localSheetId="10" hidden="1">{"Cash Flow",#N/A,FALSE,"Cash Flow"}</definedName>
    <definedName name="wrn.Cash._.Flow._1" localSheetId="6" hidden="1">{"Cash Flow",#N/A,FALSE,"Cash Flow"}</definedName>
    <definedName name="wrn.Cash._.Flow._1" localSheetId="8" hidden="1">{"Cash Flow",#N/A,FALSE,"Cash Flow"}</definedName>
    <definedName name="wrn.Cash._.Flow._1" localSheetId="13" hidden="1">{"Cash Flow",#N/A,FALSE,"Cash Flow"}</definedName>
    <definedName name="wrn.Cash._.Flow._1" localSheetId="9" hidden="1">{"Cash Flow",#N/A,FALSE,"Cash Flow"}</definedName>
    <definedName name="wrn.Cash._.Flow._1" localSheetId="17" hidden="1">{"Cash Flow",#N/A,FALSE,"Cash Flow"}</definedName>
    <definedName name="wrn.Cash._.Flow._1" hidden="1">{"Cash Flow",#N/A,FALSE,"Cash Flow"}</definedName>
    <definedName name="wrn.Cash._.Flow.X" localSheetId="16" hidden="1">{"Cash Flow",#N/A,FALSE,"Cash Flow"}</definedName>
    <definedName name="wrn.Cash._.Flow.X" localSheetId="4" hidden="1">{"Cash Flow",#N/A,FALSE,"Cash Flow"}</definedName>
    <definedName name="wrn.Cash._.Flow.X" localSheetId="15" hidden="1">{"Cash Flow",#N/A,FALSE,"Cash Flow"}</definedName>
    <definedName name="wrn.Cash._.Flow.X" localSheetId="14" hidden="1">{"Cash Flow",#N/A,FALSE,"Cash Flow"}</definedName>
    <definedName name="wrn.Cash._.Flow.X" localSheetId="3" hidden="1">{"Cash Flow",#N/A,FALSE,"Cash Flow"}</definedName>
    <definedName name="wrn.Cash._.Flow.X" localSheetId="12" hidden="1">{"Cash Flow",#N/A,FALSE,"Cash Flow"}</definedName>
    <definedName name="wrn.Cash._.Flow.X" localSheetId="11" hidden="1">{"Cash Flow",#N/A,FALSE,"Cash Flow"}</definedName>
    <definedName name="wrn.Cash._.Flow.X" localSheetId="10" hidden="1">{"Cash Flow",#N/A,FALSE,"Cash Flow"}</definedName>
    <definedName name="wrn.Cash._.Flow.X" localSheetId="6" hidden="1">{"Cash Flow",#N/A,FALSE,"Cash Flow"}</definedName>
    <definedName name="wrn.Cash._.Flow.X" localSheetId="8" hidden="1">{"Cash Flow",#N/A,FALSE,"Cash Flow"}</definedName>
    <definedName name="wrn.Cash._.Flow.X" localSheetId="13" hidden="1">{"Cash Flow",#N/A,FALSE,"Cash Flow"}</definedName>
    <definedName name="wrn.Cash._.Flow.X" localSheetId="9" hidden="1">{"Cash Flow",#N/A,FALSE,"Cash Flow"}</definedName>
    <definedName name="wrn.Cash._.Flow.X" localSheetId="17" hidden="1">{"Cash Flow",#N/A,FALSE,"Cash Flow"}</definedName>
    <definedName name="wrn.Cash._.Flow.X" hidden="1">{"Cash Flow",#N/A,FALSE,"Cash Flow"}</definedName>
    <definedName name="wrn.Construction._.Draws." localSheetId="16" hidden="1">{"Construction Draws",#N/A,FALSE,"Hard Cost Breakdown";"Hard Cost Disbursement Summary",#N/A,FALSE,"Hard Cost Breakdown"}</definedName>
    <definedName name="wrn.Construction._.Draws." localSheetId="4" hidden="1">{"Construction Draws",#N/A,FALSE,"Hard Cost Breakdown";"Hard Cost Disbursement Summary",#N/A,FALSE,"Hard Cost Breakdown"}</definedName>
    <definedName name="wrn.Construction._.Draws." localSheetId="15" hidden="1">{"Construction Draws",#N/A,FALSE,"Hard Cost Breakdown";"Hard Cost Disbursement Summary",#N/A,FALSE,"Hard Cost Breakdown"}</definedName>
    <definedName name="wrn.Construction._.Draws." localSheetId="14" hidden="1">{"Construction Draws",#N/A,FALSE,"Hard Cost Breakdown";"Hard Cost Disbursement Summary",#N/A,FALSE,"Hard Cost Breakdown"}</definedName>
    <definedName name="wrn.Construction._.Draws." localSheetId="3" hidden="1">{"Construction Draws",#N/A,FALSE,"Hard Cost Breakdown";"Hard Cost Disbursement Summary",#N/A,FALSE,"Hard Cost Breakdown"}</definedName>
    <definedName name="wrn.Construction._.Draws." localSheetId="12" hidden="1">{"Construction Draws",#N/A,FALSE,"Hard Cost Breakdown";"Hard Cost Disbursement Summary",#N/A,FALSE,"Hard Cost Breakdown"}</definedName>
    <definedName name="wrn.Construction._.Draws." localSheetId="11" hidden="1">{"Construction Draws",#N/A,FALSE,"Hard Cost Breakdown";"Hard Cost Disbursement Summary",#N/A,FALSE,"Hard Cost Breakdown"}</definedName>
    <definedName name="wrn.Construction._.Draws." localSheetId="10" hidden="1">{"Construction Draws",#N/A,FALSE,"Hard Cost Breakdown";"Hard Cost Disbursement Summary",#N/A,FALSE,"Hard Cost Breakdown"}</definedName>
    <definedName name="wrn.Construction._.Draws." localSheetId="6" hidden="1">{"Construction Draws",#N/A,FALSE,"Hard Cost Breakdown";"Hard Cost Disbursement Summary",#N/A,FALSE,"Hard Cost Breakdown"}</definedName>
    <definedName name="wrn.Construction._.Draws." localSheetId="8" hidden="1">{"Construction Draws",#N/A,FALSE,"Hard Cost Breakdown";"Hard Cost Disbursement Summary",#N/A,FALSE,"Hard Cost Breakdown"}</definedName>
    <definedName name="wrn.Construction._.Draws." localSheetId="13" hidden="1">{"Construction Draws",#N/A,FALSE,"Hard Cost Breakdown";"Hard Cost Disbursement Summary",#N/A,FALSE,"Hard Cost Breakdown"}</definedName>
    <definedName name="wrn.Construction._.Draws." localSheetId="9" hidden="1">{"Construction Draws",#N/A,FALSE,"Hard Cost Breakdown";"Hard Cost Disbursement Summary",#N/A,FALSE,"Hard Cost Breakdown"}</definedName>
    <definedName name="wrn.Construction._.Draws." localSheetId="17"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localSheetId="16" hidden="1">{"Construction Draws",#N/A,FALSE,"Hard Cost Breakdown";"Hard Cost Disbursement Summary",#N/A,FALSE,"Hard Cost Breakdown"}</definedName>
    <definedName name="wrn.Construction._.Draws._1" localSheetId="4" hidden="1">{"Construction Draws",#N/A,FALSE,"Hard Cost Breakdown";"Hard Cost Disbursement Summary",#N/A,FALSE,"Hard Cost Breakdown"}</definedName>
    <definedName name="wrn.Construction._.Draws._1" localSheetId="15" hidden="1">{"Construction Draws",#N/A,FALSE,"Hard Cost Breakdown";"Hard Cost Disbursement Summary",#N/A,FALSE,"Hard Cost Breakdown"}</definedName>
    <definedName name="wrn.Construction._.Draws._1" localSheetId="14" hidden="1">{"Construction Draws",#N/A,FALSE,"Hard Cost Breakdown";"Hard Cost Disbursement Summary",#N/A,FALSE,"Hard Cost Breakdown"}</definedName>
    <definedName name="wrn.Construction._.Draws._1" localSheetId="3" hidden="1">{"Construction Draws",#N/A,FALSE,"Hard Cost Breakdown";"Hard Cost Disbursement Summary",#N/A,FALSE,"Hard Cost Breakdown"}</definedName>
    <definedName name="wrn.Construction._.Draws._1" localSheetId="12" hidden="1">{"Construction Draws",#N/A,FALSE,"Hard Cost Breakdown";"Hard Cost Disbursement Summary",#N/A,FALSE,"Hard Cost Breakdown"}</definedName>
    <definedName name="wrn.Construction._.Draws._1" localSheetId="11" hidden="1">{"Construction Draws",#N/A,FALSE,"Hard Cost Breakdown";"Hard Cost Disbursement Summary",#N/A,FALSE,"Hard Cost Breakdown"}</definedName>
    <definedName name="wrn.Construction._.Draws._1" localSheetId="10" hidden="1">{"Construction Draws",#N/A,FALSE,"Hard Cost Breakdown";"Hard Cost Disbursement Summary",#N/A,FALSE,"Hard Cost Breakdown"}</definedName>
    <definedName name="wrn.Construction._.Draws._1" localSheetId="6" hidden="1">{"Construction Draws",#N/A,FALSE,"Hard Cost Breakdown";"Hard Cost Disbursement Summary",#N/A,FALSE,"Hard Cost Breakdown"}</definedName>
    <definedName name="wrn.Construction._.Draws._1" localSheetId="8" hidden="1">{"Construction Draws",#N/A,FALSE,"Hard Cost Breakdown";"Hard Cost Disbursement Summary",#N/A,FALSE,"Hard Cost Breakdown"}</definedName>
    <definedName name="wrn.Construction._.Draws._1" localSheetId="13" hidden="1">{"Construction Draws",#N/A,FALSE,"Hard Cost Breakdown";"Hard Cost Disbursement Summary",#N/A,FALSE,"Hard Cost Breakdown"}</definedName>
    <definedName name="wrn.Construction._.Draws._1" localSheetId="9" hidden="1">{"Construction Draws",#N/A,FALSE,"Hard Cost Breakdown";"Hard Cost Disbursement Summary",#N/A,FALSE,"Hard Cost Breakdown"}</definedName>
    <definedName name="wrn.Construction._.Draws._1" localSheetId="17"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16" hidden="1">{"Sources and Uses - Construction",#N/A,FALSE,"Construction S &amp; U"}</definedName>
    <definedName name="wrn.Construction._.Sources._.and._.Uses." localSheetId="4" hidden="1">{"Sources and Uses - Construction",#N/A,FALSE,"Construction S &amp; U"}</definedName>
    <definedName name="wrn.Construction._.Sources._.and._.Uses." localSheetId="15" hidden="1">{"Sources and Uses - Construction",#N/A,FALSE,"Construction S &amp; U"}</definedName>
    <definedName name="wrn.Construction._.Sources._.and._.Uses." localSheetId="14" hidden="1">{"Sources and Uses - Construction",#N/A,FALSE,"Construction S &amp; U"}</definedName>
    <definedName name="wrn.Construction._.Sources._.and._.Uses." localSheetId="3" hidden="1">{"Sources and Uses - Construction",#N/A,FALSE,"Construction S &amp; U"}</definedName>
    <definedName name="wrn.Construction._.Sources._.and._.Uses." localSheetId="12" hidden="1">{"Sources and Uses - Construction",#N/A,FALSE,"Construction S &amp; U"}</definedName>
    <definedName name="wrn.Construction._.Sources._.and._.Uses." localSheetId="11" hidden="1">{"Sources and Uses - Construction",#N/A,FALSE,"Construction S &amp; U"}</definedName>
    <definedName name="wrn.Construction._.Sources._.and._.Uses." localSheetId="10" hidden="1">{"Sources and Uses - Construction",#N/A,FALSE,"Construction S &amp; U"}</definedName>
    <definedName name="wrn.Construction._.Sources._.and._.Uses." localSheetId="6" hidden="1">{"Sources and Uses - Construction",#N/A,FALSE,"Construction S &amp; U"}</definedName>
    <definedName name="wrn.Construction._.Sources._.and._.Uses." localSheetId="8" hidden="1">{"Sources and Uses - Construction",#N/A,FALSE,"Construction S &amp; U"}</definedName>
    <definedName name="wrn.Construction._.Sources._.and._.Uses." localSheetId="13" hidden="1">{"Sources and Uses - Construction",#N/A,FALSE,"Construction S &amp; U"}</definedName>
    <definedName name="wrn.Construction._.Sources._.and._.Uses." localSheetId="9" hidden="1">{"Sources and Uses - Construction",#N/A,FALSE,"Construction S &amp; U"}</definedName>
    <definedName name="wrn.Construction._.Sources._.and._.Uses." localSheetId="17" hidden="1">{"Sources and Uses - Construction",#N/A,FALSE,"Construction S &amp; U"}</definedName>
    <definedName name="wrn.Construction._.Sources._.and._.Uses." hidden="1">{"Sources and Uses - Construction",#N/A,FALSE,"Construction S &amp; U"}</definedName>
    <definedName name="wrn.Construction._.Sources._.and._.Uses._1" localSheetId="16" hidden="1">{"Sources and Uses - Construction",#N/A,FALSE,"Construction S &amp; U"}</definedName>
    <definedName name="wrn.Construction._.Sources._.and._.Uses._1" localSheetId="4" hidden="1">{"Sources and Uses - Construction",#N/A,FALSE,"Construction S &amp; U"}</definedName>
    <definedName name="wrn.Construction._.Sources._.and._.Uses._1" localSheetId="15" hidden="1">{"Sources and Uses - Construction",#N/A,FALSE,"Construction S &amp; U"}</definedName>
    <definedName name="wrn.Construction._.Sources._.and._.Uses._1" localSheetId="14" hidden="1">{"Sources and Uses - Construction",#N/A,FALSE,"Construction S &amp; U"}</definedName>
    <definedName name="wrn.Construction._.Sources._.and._.Uses._1" localSheetId="3" hidden="1">{"Sources and Uses - Construction",#N/A,FALSE,"Construction S &amp; U"}</definedName>
    <definedName name="wrn.Construction._.Sources._.and._.Uses._1" localSheetId="12" hidden="1">{"Sources and Uses - Construction",#N/A,FALSE,"Construction S &amp; U"}</definedName>
    <definedName name="wrn.Construction._.Sources._.and._.Uses._1" localSheetId="11" hidden="1">{"Sources and Uses - Construction",#N/A,FALSE,"Construction S &amp; U"}</definedName>
    <definedName name="wrn.Construction._.Sources._.and._.Uses._1" localSheetId="10" hidden="1">{"Sources and Uses - Construction",#N/A,FALSE,"Construction S &amp; U"}</definedName>
    <definedName name="wrn.Construction._.Sources._.and._.Uses._1" localSheetId="6" hidden="1">{"Sources and Uses - Construction",#N/A,FALSE,"Construction S &amp; U"}</definedName>
    <definedName name="wrn.Construction._.Sources._.and._.Uses._1" localSheetId="8" hidden="1">{"Sources and Uses - Construction",#N/A,FALSE,"Construction S &amp; U"}</definedName>
    <definedName name="wrn.Construction._.Sources._.and._.Uses._1" localSheetId="13" hidden="1">{"Sources and Uses - Construction",#N/A,FALSE,"Construction S &amp; U"}</definedName>
    <definedName name="wrn.Construction._.Sources._.and._.Uses._1" localSheetId="9" hidden="1">{"Sources and Uses - Construction",#N/A,FALSE,"Construction S &amp; U"}</definedName>
    <definedName name="wrn.Construction._.Sources._.and._.Uses._1" localSheetId="17" hidden="1">{"Sources and Uses - Construction",#N/A,FALSE,"Construction S &amp; U"}</definedName>
    <definedName name="wrn.Construction._.Sources._.and._.Uses._1" hidden="1">{"Sources and Uses - Construction",#N/A,FALSE,"Construction S &amp; U"}</definedName>
    <definedName name="wrn.Exhibit._.D._.to._.Constr.._.Loan._.Agmt." localSheetId="16" hidden="1">{"Construction Sources &amp; Uses Ex. D",#N/A,FALSE,"Construction S &amp; U"}</definedName>
    <definedName name="wrn.Exhibit._.D._.to._.Constr.._.Loan._.Agmt." localSheetId="4" hidden="1">{"Construction Sources &amp; Uses Ex. D",#N/A,FALSE,"Construction S &amp; U"}</definedName>
    <definedName name="wrn.Exhibit._.D._.to._.Constr.._.Loan._.Agmt." localSheetId="15" hidden="1">{"Construction Sources &amp; Uses Ex. D",#N/A,FALSE,"Construction S &amp; U"}</definedName>
    <definedName name="wrn.Exhibit._.D._.to._.Constr.._.Loan._.Agmt." localSheetId="14" hidden="1">{"Construction Sources &amp; Uses Ex. D",#N/A,FALSE,"Construction S &amp; U"}</definedName>
    <definedName name="wrn.Exhibit._.D._.to._.Constr.._.Loan._.Agmt." localSheetId="3" hidden="1">{"Construction Sources &amp; Uses Ex. D",#N/A,FALSE,"Construction S &amp; U"}</definedName>
    <definedName name="wrn.Exhibit._.D._.to._.Constr.._.Loan._.Agmt." localSheetId="12" hidden="1">{"Construction Sources &amp; Uses Ex. D",#N/A,FALSE,"Construction S &amp; U"}</definedName>
    <definedName name="wrn.Exhibit._.D._.to._.Constr.._.Loan._.Agmt." localSheetId="11" hidden="1">{"Construction Sources &amp; Uses Ex. D",#N/A,FALSE,"Construction S &amp; U"}</definedName>
    <definedName name="wrn.Exhibit._.D._.to._.Constr.._.Loan._.Agmt." localSheetId="10" hidden="1">{"Construction Sources &amp; Uses Ex. D",#N/A,FALSE,"Construction S &amp; U"}</definedName>
    <definedName name="wrn.Exhibit._.D._.to._.Constr.._.Loan._.Agmt." localSheetId="6" hidden="1">{"Construction Sources &amp; Uses Ex. D",#N/A,FALSE,"Construction S &amp; U"}</definedName>
    <definedName name="wrn.Exhibit._.D._.to._.Constr.._.Loan._.Agmt." localSheetId="8" hidden="1">{"Construction Sources &amp; Uses Ex. D",#N/A,FALSE,"Construction S &amp; U"}</definedName>
    <definedName name="wrn.Exhibit._.D._.to._.Constr.._.Loan._.Agmt." localSheetId="13" hidden="1">{"Construction Sources &amp; Uses Ex. D",#N/A,FALSE,"Construction S &amp; U"}</definedName>
    <definedName name="wrn.Exhibit._.D._.to._.Constr.._.Loan._.Agmt." localSheetId="9" hidden="1">{"Construction Sources &amp; Uses Ex. D",#N/A,FALSE,"Construction S &amp; U"}</definedName>
    <definedName name="wrn.Exhibit._.D._.to._.Constr.._.Loan._.Agmt." localSheetId="17" hidden="1">{"Construction Sources &amp; Uses Ex. D",#N/A,FALSE,"Construction S &amp; U"}</definedName>
    <definedName name="wrn.Exhibit._.D._.to._.Constr.._.Loan._.Agmt." hidden="1">{"Construction Sources &amp; Uses Ex. D",#N/A,FALSE,"Construction S &amp; U"}</definedName>
    <definedName name="wrn.Exhibit._.D._.to._.Constr.._.Loan._.Agmt._1" localSheetId="16" hidden="1">{"Construction Sources &amp; Uses Ex. D",#N/A,FALSE,"Construction S &amp; U"}</definedName>
    <definedName name="wrn.Exhibit._.D._.to._.Constr.._.Loan._.Agmt._1" localSheetId="4" hidden="1">{"Construction Sources &amp; Uses Ex. D",#N/A,FALSE,"Construction S &amp; U"}</definedName>
    <definedName name="wrn.Exhibit._.D._.to._.Constr.._.Loan._.Agmt._1" localSheetId="15" hidden="1">{"Construction Sources &amp; Uses Ex. D",#N/A,FALSE,"Construction S &amp; U"}</definedName>
    <definedName name="wrn.Exhibit._.D._.to._.Constr.._.Loan._.Agmt._1" localSheetId="14" hidden="1">{"Construction Sources &amp; Uses Ex. D",#N/A,FALSE,"Construction S &amp; U"}</definedName>
    <definedName name="wrn.Exhibit._.D._.to._.Constr.._.Loan._.Agmt._1" localSheetId="3" hidden="1">{"Construction Sources &amp; Uses Ex. D",#N/A,FALSE,"Construction S &amp; U"}</definedName>
    <definedName name="wrn.Exhibit._.D._.to._.Constr.._.Loan._.Agmt._1" localSheetId="12" hidden="1">{"Construction Sources &amp; Uses Ex. D",#N/A,FALSE,"Construction S &amp; U"}</definedName>
    <definedName name="wrn.Exhibit._.D._.to._.Constr.._.Loan._.Agmt._1" localSheetId="11" hidden="1">{"Construction Sources &amp; Uses Ex. D",#N/A,FALSE,"Construction S &amp; U"}</definedName>
    <definedName name="wrn.Exhibit._.D._.to._.Constr.._.Loan._.Agmt._1" localSheetId="10" hidden="1">{"Construction Sources &amp; Uses Ex. D",#N/A,FALSE,"Construction S &amp; U"}</definedName>
    <definedName name="wrn.Exhibit._.D._.to._.Constr.._.Loan._.Agmt._1" localSheetId="6" hidden="1">{"Construction Sources &amp; Uses Ex. D",#N/A,FALSE,"Construction S &amp; U"}</definedName>
    <definedName name="wrn.Exhibit._.D._.to._.Constr.._.Loan._.Agmt._1" localSheetId="8" hidden="1">{"Construction Sources &amp; Uses Ex. D",#N/A,FALSE,"Construction S &amp; U"}</definedName>
    <definedName name="wrn.Exhibit._.D._.to._.Constr.._.Loan._.Agmt._1" localSheetId="13" hidden="1">{"Construction Sources &amp; Uses Ex. D",#N/A,FALSE,"Construction S &amp; U"}</definedName>
    <definedName name="wrn.Exhibit._.D._.to._.Constr.._.Loan._.Agmt._1" localSheetId="9" hidden="1">{"Construction Sources &amp; Uses Ex. D",#N/A,FALSE,"Construction S &amp; U"}</definedName>
    <definedName name="wrn.Exhibit._.D._.to._.Constr.._.Loan._.Agmt._1" localSheetId="17" hidden="1">{"Construction Sources &amp; Uses Ex. D",#N/A,FALSE,"Construction S &amp; U"}</definedName>
    <definedName name="wrn.Exhibit._.D._.to._.Constr.._.Loan._.Agmt._1" hidden="1">{"Construction Sources &amp; Uses Ex. D",#N/A,FALSE,"Construction S &amp; U"}</definedName>
    <definedName name="wrn.Input._.Information." localSheetId="16" hidden="1">{"Input Pages 1 and 2",#N/A,FALSE,"Input";"Input Pages 3 and 4",#N/A,FALSE,"Input"}</definedName>
    <definedName name="wrn.Input._.Information." localSheetId="4" hidden="1">{"Input Pages 1 and 2",#N/A,FALSE,"Input";"Input Pages 3 and 4",#N/A,FALSE,"Input"}</definedName>
    <definedName name="wrn.Input._.Information." localSheetId="15" hidden="1">{"Input Pages 1 and 2",#N/A,FALSE,"Input";"Input Pages 3 and 4",#N/A,FALSE,"Input"}</definedName>
    <definedName name="wrn.Input._.Information." localSheetId="14" hidden="1">{"Input Pages 1 and 2",#N/A,FALSE,"Input";"Input Pages 3 and 4",#N/A,FALSE,"Input"}</definedName>
    <definedName name="wrn.Input._.Information." localSheetId="3" hidden="1">{"Input Pages 1 and 2",#N/A,FALSE,"Input";"Input Pages 3 and 4",#N/A,FALSE,"Input"}</definedName>
    <definedName name="wrn.Input._.Information." localSheetId="12" hidden="1">{"Input Pages 1 and 2",#N/A,FALSE,"Input";"Input Pages 3 and 4",#N/A,FALSE,"Input"}</definedName>
    <definedName name="wrn.Input._.Information." localSheetId="11" hidden="1">{"Input Pages 1 and 2",#N/A,FALSE,"Input";"Input Pages 3 and 4",#N/A,FALSE,"Input"}</definedName>
    <definedName name="wrn.Input._.Information." localSheetId="10" hidden="1">{"Input Pages 1 and 2",#N/A,FALSE,"Input";"Input Pages 3 and 4",#N/A,FALSE,"Input"}</definedName>
    <definedName name="wrn.Input._.Information." localSheetId="6" hidden="1">{"Input Pages 1 and 2",#N/A,FALSE,"Input";"Input Pages 3 and 4",#N/A,FALSE,"Input"}</definedName>
    <definedName name="wrn.Input._.Information." localSheetId="8" hidden="1">{"Input Pages 1 and 2",#N/A,FALSE,"Input";"Input Pages 3 and 4",#N/A,FALSE,"Input"}</definedName>
    <definedName name="wrn.Input._.Information." localSheetId="13" hidden="1">{"Input Pages 1 and 2",#N/A,FALSE,"Input";"Input Pages 3 and 4",#N/A,FALSE,"Input"}</definedName>
    <definedName name="wrn.Input._.Information." localSheetId="9" hidden="1">{"Input Pages 1 and 2",#N/A,FALSE,"Input";"Input Pages 3 and 4",#N/A,FALSE,"Input"}</definedName>
    <definedName name="wrn.Input._.Information." localSheetId="17" hidden="1">{"Input Pages 1 and 2",#N/A,FALSE,"Input";"Input Pages 3 and 4",#N/A,FALSE,"Input"}</definedName>
    <definedName name="wrn.Input._.Information." hidden="1">{"Input Pages 1 and 2",#N/A,FALSE,"Input";"Input Pages 3 and 4",#N/A,FALSE,"Input"}</definedName>
    <definedName name="wrn.Input._.Information._1" localSheetId="16" hidden="1">{"Input Pages 1 and 2",#N/A,FALSE,"Input";"Input Pages 3 and 4",#N/A,FALSE,"Input"}</definedName>
    <definedName name="wrn.Input._.Information._1" localSheetId="4" hidden="1">{"Input Pages 1 and 2",#N/A,FALSE,"Input";"Input Pages 3 and 4",#N/A,FALSE,"Input"}</definedName>
    <definedName name="wrn.Input._.Information._1" localSheetId="15" hidden="1">{"Input Pages 1 and 2",#N/A,FALSE,"Input";"Input Pages 3 and 4",#N/A,FALSE,"Input"}</definedName>
    <definedName name="wrn.Input._.Information._1" localSheetId="14" hidden="1">{"Input Pages 1 and 2",#N/A,FALSE,"Input";"Input Pages 3 and 4",#N/A,FALSE,"Input"}</definedName>
    <definedName name="wrn.Input._.Information._1" localSheetId="3" hidden="1">{"Input Pages 1 and 2",#N/A,FALSE,"Input";"Input Pages 3 and 4",#N/A,FALSE,"Input"}</definedName>
    <definedName name="wrn.Input._.Information._1" localSheetId="12" hidden="1">{"Input Pages 1 and 2",#N/A,FALSE,"Input";"Input Pages 3 and 4",#N/A,FALSE,"Input"}</definedName>
    <definedName name="wrn.Input._.Information._1" localSheetId="11" hidden="1">{"Input Pages 1 and 2",#N/A,FALSE,"Input";"Input Pages 3 and 4",#N/A,FALSE,"Input"}</definedName>
    <definedName name="wrn.Input._.Information._1" localSheetId="10" hidden="1">{"Input Pages 1 and 2",#N/A,FALSE,"Input";"Input Pages 3 and 4",#N/A,FALSE,"Input"}</definedName>
    <definedName name="wrn.Input._.Information._1" localSheetId="6" hidden="1">{"Input Pages 1 and 2",#N/A,FALSE,"Input";"Input Pages 3 and 4",#N/A,FALSE,"Input"}</definedName>
    <definedName name="wrn.Input._.Information._1" localSheetId="8" hidden="1">{"Input Pages 1 and 2",#N/A,FALSE,"Input";"Input Pages 3 and 4",#N/A,FALSE,"Input"}</definedName>
    <definedName name="wrn.Input._.Information._1" localSheetId="13" hidden="1">{"Input Pages 1 and 2",#N/A,FALSE,"Input";"Input Pages 3 and 4",#N/A,FALSE,"Input"}</definedName>
    <definedName name="wrn.Input._.Information._1" localSheetId="9" hidden="1">{"Input Pages 1 and 2",#N/A,FALSE,"Input";"Input Pages 3 and 4",#N/A,FALSE,"Input"}</definedName>
    <definedName name="wrn.Input._.Information._1" localSheetId="17" hidden="1">{"Input Pages 1 and 2",#N/A,FALSE,"Input";"Input Pages 3 and 4",#N/A,FALSE,"Input"}</definedName>
    <definedName name="wrn.Input._.Information._1" hidden="1">{"Input Pages 1 and 2",#N/A,FALSE,"Input";"Input Pages 3 and 4",#N/A,FALSE,"Input"}</definedName>
    <definedName name="wrn.Operating._.Budget." localSheetId="16" hidden="1">{"Operating Budget Detail",#N/A,FALSE,"Operations"}</definedName>
    <definedName name="wrn.Operating._.Budget." localSheetId="4" hidden="1">{"Operating Budget Detail",#N/A,FALSE,"Operations"}</definedName>
    <definedName name="wrn.Operating._.Budget." localSheetId="15" hidden="1">{"Operating Budget Detail",#N/A,FALSE,"Operations"}</definedName>
    <definedName name="wrn.Operating._.Budget." localSheetId="14" hidden="1">{"Operating Budget Detail",#N/A,FALSE,"Operations"}</definedName>
    <definedName name="wrn.Operating._.Budget." localSheetId="3" hidden="1">{"Operating Budget Detail",#N/A,FALSE,"Operations"}</definedName>
    <definedName name="wrn.Operating._.Budget." localSheetId="12" hidden="1">{"Operating Budget Detail",#N/A,FALSE,"Operations"}</definedName>
    <definedName name="wrn.Operating._.Budget." localSheetId="11" hidden="1">{"Operating Budget Detail",#N/A,FALSE,"Operations"}</definedName>
    <definedName name="wrn.Operating._.Budget." localSheetId="10" hidden="1">{"Operating Budget Detail",#N/A,FALSE,"Operations"}</definedName>
    <definedName name="wrn.Operating._.Budget." localSheetId="6" hidden="1">{"Operating Budget Detail",#N/A,FALSE,"Operations"}</definedName>
    <definedName name="wrn.Operating._.Budget." localSheetId="8" hidden="1">{"Operating Budget Detail",#N/A,FALSE,"Operations"}</definedName>
    <definedName name="wrn.Operating._.Budget." localSheetId="13" hidden="1">{"Operating Budget Detail",#N/A,FALSE,"Operations"}</definedName>
    <definedName name="wrn.Operating._.Budget." localSheetId="9" hidden="1">{"Operating Budget Detail",#N/A,FALSE,"Operations"}</definedName>
    <definedName name="wrn.Operating._.Budget." localSheetId="17" hidden="1">{"Operating Budget Detail",#N/A,FALSE,"Operations"}</definedName>
    <definedName name="wrn.Operating._.Budget." hidden="1">{"Operating Budget Detail",#N/A,FALSE,"Operations"}</definedName>
    <definedName name="wrn.Operating._.Budget._1" localSheetId="16" hidden="1">{"Operating Budget Detail",#N/A,FALSE,"Operations"}</definedName>
    <definedName name="wrn.Operating._.Budget._1" localSheetId="4" hidden="1">{"Operating Budget Detail",#N/A,FALSE,"Operations"}</definedName>
    <definedName name="wrn.Operating._.Budget._1" localSheetId="15" hidden="1">{"Operating Budget Detail",#N/A,FALSE,"Operations"}</definedName>
    <definedName name="wrn.Operating._.Budget._1" localSheetId="14" hidden="1">{"Operating Budget Detail",#N/A,FALSE,"Operations"}</definedName>
    <definedName name="wrn.Operating._.Budget._1" localSheetId="3" hidden="1">{"Operating Budget Detail",#N/A,FALSE,"Operations"}</definedName>
    <definedName name="wrn.Operating._.Budget._1" localSheetId="12" hidden="1">{"Operating Budget Detail",#N/A,FALSE,"Operations"}</definedName>
    <definedName name="wrn.Operating._.Budget._1" localSheetId="11" hidden="1">{"Operating Budget Detail",#N/A,FALSE,"Operations"}</definedName>
    <definedName name="wrn.Operating._.Budget._1" localSheetId="10" hidden="1">{"Operating Budget Detail",#N/A,FALSE,"Operations"}</definedName>
    <definedName name="wrn.Operating._.Budget._1" localSheetId="6" hidden="1">{"Operating Budget Detail",#N/A,FALSE,"Operations"}</definedName>
    <definedName name="wrn.Operating._.Budget._1" localSheetId="8" hidden="1">{"Operating Budget Detail",#N/A,FALSE,"Operations"}</definedName>
    <definedName name="wrn.Operating._.Budget._1" localSheetId="13" hidden="1">{"Operating Budget Detail",#N/A,FALSE,"Operations"}</definedName>
    <definedName name="wrn.Operating._.Budget._1" localSheetId="9" hidden="1">{"Operating Budget Detail",#N/A,FALSE,"Operations"}</definedName>
    <definedName name="wrn.Operating._.Budget._1" localSheetId="17" hidden="1">{"Operating Budget Detail",#N/A,FALSE,"Operations"}</definedName>
    <definedName name="wrn.Operating._.Budget._1" hidden="1">{"Operating Budget Detail",#N/A,FALSE,"Operations"}</definedName>
    <definedName name="wrn.Perm._.Sources._.and._.Uses." localSheetId="16" hidden="1">{"Sources and Uses with Eligible Basis",#N/A,FALSE,"Sources &amp; Uses";"Disbursement Schedule",#N/A,FALSE,"Sources &amp; Uses"}</definedName>
    <definedName name="wrn.Perm._.Sources._.and._.Uses." localSheetId="4" hidden="1">{"Sources and Uses with Eligible Basis",#N/A,FALSE,"Sources &amp; Uses";"Disbursement Schedule",#N/A,FALSE,"Sources &amp; Uses"}</definedName>
    <definedName name="wrn.Perm._.Sources._.and._.Uses." localSheetId="15" hidden="1">{"Sources and Uses with Eligible Basis",#N/A,FALSE,"Sources &amp; Uses";"Disbursement Schedule",#N/A,FALSE,"Sources &amp; Uses"}</definedName>
    <definedName name="wrn.Perm._.Sources._.and._.Uses." localSheetId="14" hidden="1">{"Sources and Uses with Eligible Basis",#N/A,FALSE,"Sources &amp; Uses";"Disbursement Schedule",#N/A,FALSE,"Sources &amp; Uses"}</definedName>
    <definedName name="wrn.Perm._.Sources._.and._.Uses." localSheetId="3" hidden="1">{"Sources and Uses with Eligible Basis",#N/A,FALSE,"Sources &amp; Uses";"Disbursement Schedule",#N/A,FALSE,"Sources &amp; Uses"}</definedName>
    <definedName name="wrn.Perm._.Sources._.and._.Uses." localSheetId="12" hidden="1">{"Sources and Uses with Eligible Basis",#N/A,FALSE,"Sources &amp; Uses";"Disbursement Schedule",#N/A,FALSE,"Sources &amp; Uses"}</definedName>
    <definedName name="wrn.Perm._.Sources._.and._.Uses." localSheetId="11" hidden="1">{"Sources and Uses with Eligible Basis",#N/A,FALSE,"Sources &amp; Uses";"Disbursement Schedule",#N/A,FALSE,"Sources &amp; Uses"}</definedName>
    <definedName name="wrn.Perm._.Sources._.and._.Uses." localSheetId="10" hidden="1">{"Sources and Uses with Eligible Basis",#N/A,FALSE,"Sources &amp; Uses";"Disbursement Schedule",#N/A,FALSE,"Sources &amp; Uses"}</definedName>
    <definedName name="wrn.Perm._.Sources._.and._.Uses." localSheetId="6" hidden="1">{"Sources and Uses with Eligible Basis",#N/A,FALSE,"Sources &amp; Uses";"Disbursement Schedule",#N/A,FALSE,"Sources &amp; Uses"}</definedName>
    <definedName name="wrn.Perm._.Sources._.and._.Uses." localSheetId="8" hidden="1">{"Sources and Uses with Eligible Basis",#N/A,FALSE,"Sources &amp; Uses";"Disbursement Schedule",#N/A,FALSE,"Sources &amp; Uses"}</definedName>
    <definedName name="wrn.Perm._.Sources._.and._.Uses." localSheetId="13" hidden="1">{"Sources and Uses with Eligible Basis",#N/A,FALSE,"Sources &amp; Uses";"Disbursement Schedule",#N/A,FALSE,"Sources &amp; Uses"}</definedName>
    <definedName name="wrn.Perm._.Sources._.and._.Uses." localSheetId="9" hidden="1">{"Sources and Uses with Eligible Basis",#N/A,FALSE,"Sources &amp; Uses";"Disbursement Schedule",#N/A,FALSE,"Sources &amp; Uses"}</definedName>
    <definedName name="wrn.Perm._.Sources._.and._.Uses." localSheetId="17"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localSheetId="16" hidden="1">{"Sources and Uses with Eligible Basis",#N/A,FALSE,"Sources &amp; Uses";"Disbursement Schedule",#N/A,FALSE,"Sources &amp; Uses"}</definedName>
    <definedName name="wrn.Perm._.Sources._.and._.Uses._1" localSheetId="4" hidden="1">{"Sources and Uses with Eligible Basis",#N/A,FALSE,"Sources &amp; Uses";"Disbursement Schedule",#N/A,FALSE,"Sources &amp; Uses"}</definedName>
    <definedName name="wrn.Perm._.Sources._.and._.Uses._1" localSheetId="15" hidden="1">{"Sources and Uses with Eligible Basis",#N/A,FALSE,"Sources &amp; Uses";"Disbursement Schedule",#N/A,FALSE,"Sources &amp; Uses"}</definedName>
    <definedName name="wrn.Perm._.Sources._.and._.Uses._1" localSheetId="14" hidden="1">{"Sources and Uses with Eligible Basis",#N/A,FALSE,"Sources &amp; Uses";"Disbursement Schedule",#N/A,FALSE,"Sources &amp; Uses"}</definedName>
    <definedName name="wrn.Perm._.Sources._.and._.Uses._1" localSheetId="3" hidden="1">{"Sources and Uses with Eligible Basis",#N/A,FALSE,"Sources &amp; Uses";"Disbursement Schedule",#N/A,FALSE,"Sources &amp; Uses"}</definedName>
    <definedName name="wrn.Perm._.Sources._.and._.Uses._1" localSheetId="12" hidden="1">{"Sources and Uses with Eligible Basis",#N/A,FALSE,"Sources &amp; Uses";"Disbursement Schedule",#N/A,FALSE,"Sources &amp; Uses"}</definedName>
    <definedName name="wrn.Perm._.Sources._.and._.Uses._1" localSheetId="11" hidden="1">{"Sources and Uses with Eligible Basis",#N/A,FALSE,"Sources &amp; Uses";"Disbursement Schedule",#N/A,FALSE,"Sources &amp; Uses"}</definedName>
    <definedName name="wrn.Perm._.Sources._.and._.Uses._1" localSheetId="10" hidden="1">{"Sources and Uses with Eligible Basis",#N/A,FALSE,"Sources &amp; Uses";"Disbursement Schedule",#N/A,FALSE,"Sources &amp; Uses"}</definedName>
    <definedName name="wrn.Perm._.Sources._.and._.Uses._1" localSheetId="6" hidden="1">{"Sources and Uses with Eligible Basis",#N/A,FALSE,"Sources &amp; Uses";"Disbursement Schedule",#N/A,FALSE,"Sources &amp; Uses"}</definedName>
    <definedName name="wrn.Perm._.Sources._.and._.Uses._1" localSheetId="8" hidden="1">{"Sources and Uses with Eligible Basis",#N/A,FALSE,"Sources &amp; Uses";"Disbursement Schedule",#N/A,FALSE,"Sources &amp; Uses"}</definedName>
    <definedName name="wrn.Perm._.Sources._.and._.Uses._1" localSheetId="13" hidden="1">{"Sources and Uses with Eligible Basis",#N/A,FALSE,"Sources &amp; Uses";"Disbursement Schedule",#N/A,FALSE,"Sources &amp; Uses"}</definedName>
    <definedName name="wrn.Perm._.Sources._.and._.Uses._1" localSheetId="9" hidden="1">{"Sources and Uses with Eligible Basis",#N/A,FALSE,"Sources &amp; Uses";"Disbursement Schedule",#N/A,FALSE,"Sources &amp; Uses"}</definedName>
    <definedName name="wrn.Perm._.Sources._.and._.Uses._1" localSheetId="17"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16" hidden="1">{"Rent Calcs - all rents and two subsidies",#N/A,FALSE,"Rent Calcs";"Income Limits and Maximum Rents",#N/A,FALSE,"Rent Calcs"}</definedName>
    <definedName name="wrn.Rent._.Calcs." localSheetId="4" hidden="1">{"Rent Calcs - all rents and two subsidies",#N/A,FALSE,"Rent Calcs";"Income Limits and Maximum Rents",#N/A,FALSE,"Rent Calcs"}</definedName>
    <definedName name="wrn.Rent._.Calcs." localSheetId="15" hidden="1">{"Rent Calcs - all rents and two subsidies",#N/A,FALSE,"Rent Calcs";"Income Limits and Maximum Rents",#N/A,FALSE,"Rent Calcs"}</definedName>
    <definedName name="wrn.Rent._.Calcs." localSheetId="14" hidden="1">{"Rent Calcs - all rents and two subsidies",#N/A,FALSE,"Rent Calcs";"Income Limits and Maximum Rents",#N/A,FALSE,"Rent Calcs"}</definedName>
    <definedName name="wrn.Rent._.Calcs." localSheetId="3" hidden="1">{"Rent Calcs - all rents and two subsidies",#N/A,FALSE,"Rent Calcs";"Income Limits and Maximum Rents",#N/A,FALSE,"Rent Calcs"}</definedName>
    <definedName name="wrn.Rent._.Calcs." localSheetId="12" hidden="1">{"Rent Calcs - all rents and two subsidies",#N/A,FALSE,"Rent Calcs";"Income Limits and Maximum Rents",#N/A,FALSE,"Rent Calcs"}</definedName>
    <definedName name="wrn.Rent._.Calcs." localSheetId="11" hidden="1">{"Rent Calcs - all rents and two subsidies",#N/A,FALSE,"Rent Calcs";"Income Limits and Maximum Rents",#N/A,FALSE,"Rent Calcs"}</definedName>
    <definedName name="wrn.Rent._.Calcs." localSheetId="10" hidden="1">{"Rent Calcs - all rents and two subsidies",#N/A,FALSE,"Rent Calcs";"Income Limits and Maximum Rents",#N/A,FALSE,"Rent Calcs"}</definedName>
    <definedName name="wrn.Rent._.Calcs." localSheetId="6" hidden="1">{"Rent Calcs - all rents and two subsidies",#N/A,FALSE,"Rent Calcs";"Income Limits and Maximum Rents",#N/A,FALSE,"Rent Calcs"}</definedName>
    <definedName name="wrn.Rent._.Calcs." localSheetId="8" hidden="1">{"Rent Calcs - all rents and two subsidies",#N/A,FALSE,"Rent Calcs";"Income Limits and Maximum Rents",#N/A,FALSE,"Rent Calcs"}</definedName>
    <definedName name="wrn.Rent._.Calcs." localSheetId="13" hidden="1">{"Rent Calcs - all rents and two subsidies",#N/A,FALSE,"Rent Calcs";"Income Limits and Maximum Rents",#N/A,FALSE,"Rent Calcs"}</definedName>
    <definedName name="wrn.Rent._.Calcs." localSheetId="9" hidden="1">{"Rent Calcs - all rents and two subsidies",#N/A,FALSE,"Rent Calcs";"Income Limits and Maximum Rents",#N/A,FALSE,"Rent Calcs"}</definedName>
    <definedName name="wrn.Rent._.Calcs." localSheetId="17"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localSheetId="16" hidden="1">{"Rent Calcs - all rents and two subsidies",#N/A,FALSE,"Rent Calcs";"Income Limits and Maximum Rents",#N/A,FALSE,"Rent Calcs"}</definedName>
    <definedName name="wrn.Rent._.Calcs._1" localSheetId="4" hidden="1">{"Rent Calcs - all rents and two subsidies",#N/A,FALSE,"Rent Calcs";"Income Limits and Maximum Rents",#N/A,FALSE,"Rent Calcs"}</definedName>
    <definedName name="wrn.Rent._.Calcs._1" localSheetId="15" hidden="1">{"Rent Calcs - all rents and two subsidies",#N/A,FALSE,"Rent Calcs";"Income Limits and Maximum Rents",#N/A,FALSE,"Rent Calcs"}</definedName>
    <definedName name="wrn.Rent._.Calcs._1" localSheetId="14" hidden="1">{"Rent Calcs - all rents and two subsidies",#N/A,FALSE,"Rent Calcs";"Income Limits and Maximum Rents",#N/A,FALSE,"Rent Calcs"}</definedName>
    <definedName name="wrn.Rent._.Calcs._1" localSheetId="3" hidden="1">{"Rent Calcs - all rents and two subsidies",#N/A,FALSE,"Rent Calcs";"Income Limits and Maximum Rents",#N/A,FALSE,"Rent Calcs"}</definedName>
    <definedName name="wrn.Rent._.Calcs._1" localSheetId="12" hidden="1">{"Rent Calcs - all rents and two subsidies",#N/A,FALSE,"Rent Calcs";"Income Limits and Maximum Rents",#N/A,FALSE,"Rent Calcs"}</definedName>
    <definedName name="wrn.Rent._.Calcs._1" localSheetId="11" hidden="1">{"Rent Calcs - all rents and two subsidies",#N/A,FALSE,"Rent Calcs";"Income Limits and Maximum Rents",#N/A,FALSE,"Rent Calcs"}</definedName>
    <definedName name="wrn.Rent._.Calcs._1" localSheetId="10" hidden="1">{"Rent Calcs - all rents and two subsidies",#N/A,FALSE,"Rent Calcs";"Income Limits and Maximum Rents",#N/A,FALSE,"Rent Calcs"}</definedName>
    <definedName name="wrn.Rent._.Calcs._1" localSheetId="6" hidden="1">{"Rent Calcs - all rents and two subsidies",#N/A,FALSE,"Rent Calcs";"Income Limits and Maximum Rents",#N/A,FALSE,"Rent Calcs"}</definedName>
    <definedName name="wrn.Rent._.Calcs._1" localSheetId="8" hidden="1">{"Rent Calcs - all rents and two subsidies",#N/A,FALSE,"Rent Calcs";"Income Limits and Maximum Rents",#N/A,FALSE,"Rent Calcs"}</definedName>
    <definedName name="wrn.Rent._.Calcs._1" localSheetId="13" hidden="1">{"Rent Calcs - all rents and two subsidies",#N/A,FALSE,"Rent Calcs";"Income Limits and Maximum Rents",#N/A,FALSE,"Rent Calcs"}</definedName>
    <definedName name="wrn.Rent._.Calcs._1" localSheetId="9" hidden="1">{"Rent Calcs - all rents and two subsidies",#N/A,FALSE,"Rent Calcs";"Income Limits and Maximum Rents",#N/A,FALSE,"Rent Calcs"}</definedName>
    <definedName name="wrn.Rent._.Calcs._1" localSheetId="17"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1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9"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localSheetId="1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5"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4"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2"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1"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6"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8"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3"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9"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localSheetId="17"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16" hidden="1">{"Sources and Uses",#N/A,FALSE,"Sources &amp; Uses";"Construction Sources &amp; Uses Ex. D",#N/A,FALSE,"Sources &amp; Uses"}</definedName>
    <definedName name="wrn.Sources._.and._.Uses." localSheetId="4" hidden="1">{"Sources and Uses",#N/A,FALSE,"Sources &amp; Uses";"Construction Sources &amp; Uses Ex. D",#N/A,FALSE,"Sources &amp; Uses"}</definedName>
    <definedName name="wrn.Sources._.and._.Uses." localSheetId="15" hidden="1">{"Sources and Uses",#N/A,FALSE,"Sources &amp; Uses";"Construction Sources &amp; Uses Ex. D",#N/A,FALSE,"Sources &amp; Uses"}</definedName>
    <definedName name="wrn.Sources._.and._.Uses." localSheetId="14" hidden="1">{"Sources and Uses",#N/A,FALSE,"Sources &amp; Uses";"Construction Sources &amp; Uses Ex. D",#N/A,FALSE,"Sources &amp; Uses"}</definedName>
    <definedName name="wrn.Sources._.and._.Uses." localSheetId="3" hidden="1">{"Sources and Uses",#N/A,FALSE,"Sources &amp; Uses";"Construction Sources &amp; Uses Ex. D",#N/A,FALSE,"Sources &amp; Uses"}</definedName>
    <definedName name="wrn.Sources._.and._.Uses." localSheetId="12" hidden="1">{"Sources and Uses",#N/A,FALSE,"Sources &amp; Uses";"Construction Sources &amp; Uses Ex. D",#N/A,FALSE,"Sources &amp; Uses"}</definedName>
    <definedName name="wrn.Sources._.and._.Uses." localSheetId="11" hidden="1">{"Sources and Uses",#N/A,FALSE,"Sources &amp; Uses";"Construction Sources &amp; Uses Ex. D",#N/A,FALSE,"Sources &amp; Uses"}</definedName>
    <definedName name="wrn.Sources._.and._.Uses." localSheetId="10" hidden="1">{"Sources and Uses",#N/A,FALSE,"Sources &amp; Uses";"Construction Sources &amp; Uses Ex. D",#N/A,FALSE,"Sources &amp; Uses"}</definedName>
    <definedName name="wrn.Sources._.and._.Uses." localSheetId="6" hidden="1">{"Sources and Uses",#N/A,FALSE,"Sources &amp; Uses";"Construction Sources &amp; Uses Ex. D",#N/A,FALSE,"Sources &amp; Uses"}</definedName>
    <definedName name="wrn.Sources._.and._.Uses." localSheetId="8" hidden="1">{"Sources and Uses",#N/A,FALSE,"Sources &amp; Uses";"Construction Sources &amp; Uses Ex. D",#N/A,FALSE,"Sources &amp; Uses"}</definedName>
    <definedName name="wrn.Sources._.and._.Uses." localSheetId="13" hidden="1">{"Sources and Uses",#N/A,FALSE,"Sources &amp; Uses";"Construction Sources &amp; Uses Ex. D",#N/A,FALSE,"Sources &amp; Uses"}</definedName>
    <definedName name="wrn.Sources._.and._.Uses." localSheetId="9" hidden="1">{"Sources and Uses",#N/A,FALSE,"Sources &amp; Uses";"Construction Sources &amp; Uses Ex. D",#N/A,FALSE,"Sources &amp; Uses"}</definedName>
    <definedName name="wrn.Sources._.and._.Uses." localSheetId="17"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localSheetId="16" hidden="1">{"Sources and Uses",#N/A,FALSE,"Sources &amp; Uses";"Construction Sources &amp; Uses Ex. D",#N/A,FALSE,"Sources &amp; Uses"}</definedName>
    <definedName name="wrn.Sources._.and._.Uses._1" localSheetId="4" hidden="1">{"Sources and Uses",#N/A,FALSE,"Sources &amp; Uses";"Construction Sources &amp; Uses Ex. D",#N/A,FALSE,"Sources &amp; Uses"}</definedName>
    <definedName name="wrn.Sources._.and._.Uses._1" localSheetId="15" hidden="1">{"Sources and Uses",#N/A,FALSE,"Sources &amp; Uses";"Construction Sources &amp; Uses Ex. D",#N/A,FALSE,"Sources &amp; Uses"}</definedName>
    <definedName name="wrn.Sources._.and._.Uses._1" localSheetId="14" hidden="1">{"Sources and Uses",#N/A,FALSE,"Sources &amp; Uses";"Construction Sources &amp; Uses Ex. D",#N/A,FALSE,"Sources &amp; Uses"}</definedName>
    <definedName name="wrn.Sources._.and._.Uses._1" localSheetId="3" hidden="1">{"Sources and Uses",#N/A,FALSE,"Sources &amp; Uses";"Construction Sources &amp; Uses Ex. D",#N/A,FALSE,"Sources &amp; Uses"}</definedName>
    <definedName name="wrn.Sources._.and._.Uses._1" localSheetId="12" hidden="1">{"Sources and Uses",#N/A,FALSE,"Sources &amp; Uses";"Construction Sources &amp; Uses Ex. D",#N/A,FALSE,"Sources &amp; Uses"}</definedName>
    <definedName name="wrn.Sources._.and._.Uses._1" localSheetId="11" hidden="1">{"Sources and Uses",#N/A,FALSE,"Sources &amp; Uses";"Construction Sources &amp; Uses Ex. D",#N/A,FALSE,"Sources &amp; Uses"}</definedName>
    <definedName name="wrn.Sources._.and._.Uses._1" localSheetId="10" hidden="1">{"Sources and Uses",#N/A,FALSE,"Sources &amp; Uses";"Construction Sources &amp; Uses Ex. D",#N/A,FALSE,"Sources &amp; Uses"}</definedName>
    <definedName name="wrn.Sources._.and._.Uses._1" localSheetId="6" hidden="1">{"Sources and Uses",#N/A,FALSE,"Sources &amp; Uses";"Construction Sources &amp; Uses Ex. D",#N/A,FALSE,"Sources &amp; Uses"}</definedName>
    <definedName name="wrn.Sources._.and._.Uses._1" localSheetId="8" hidden="1">{"Sources and Uses",#N/A,FALSE,"Sources &amp; Uses";"Construction Sources &amp; Uses Ex. D",#N/A,FALSE,"Sources &amp; Uses"}</definedName>
    <definedName name="wrn.Sources._.and._.Uses._1" localSheetId="13" hidden="1">{"Sources and Uses",#N/A,FALSE,"Sources &amp; Uses";"Construction Sources &amp; Uses Ex. D",#N/A,FALSE,"Sources &amp; Uses"}</definedName>
    <definedName name="wrn.Sources._.and._.Uses._1" localSheetId="9" hidden="1">{"Sources and Uses",#N/A,FALSE,"Sources &amp; Uses";"Construction Sources &amp; Uses Ex. D",#N/A,FALSE,"Sources &amp; Uses"}</definedName>
    <definedName name="wrn.Sources._.and._.Uses._1" localSheetId="17"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16" hidden="1">{"Subsidy",#N/A,FALSE,"Subisdy"}</definedName>
    <definedName name="wrn.Subsidy._.Costs._.to._.CalHFA." localSheetId="4" hidden="1">{"Subsidy",#N/A,FALSE,"Subisdy"}</definedName>
    <definedName name="wrn.Subsidy._.Costs._.to._.CalHFA." localSheetId="15" hidden="1">{"Subsidy",#N/A,FALSE,"Subisdy"}</definedName>
    <definedName name="wrn.Subsidy._.Costs._.to._.CalHFA." localSheetId="14" hidden="1">{"Subsidy",#N/A,FALSE,"Subisdy"}</definedName>
    <definedName name="wrn.Subsidy._.Costs._.to._.CalHFA." localSheetId="3" hidden="1">{"Subsidy",#N/A,FALSE,"Subisdy"}</definedName>
    <definedName name="wrn.Subsidy._.Costs._.to._.CalHFA." localSheetId="12" hidden="1">{"Subsidy",#N/A,FALSE,"Subisdy"}</definedName>
    <definedName name="wrn.Subsidy._.Costs._.to._.CalHFA." localSheetId="11" hidden="1">{"Subsidy",#N/A,FALSE,"Subisdy"}</definedName>
    <definedName name="wrn.Subsidy._.Costs._.to._.CalHFA." localSheetId="10" hidden="1">{"Subsidy",#N/A,FALSE,"Subisdy"}</definedName>
    <definedName name="wrn.Subsidy._.Costs._.to._.CalHFA." localSheetId="6" hidden="1">{"Subsidy",#N/A,FALSE,"Subisdy"}</definedName>
    <definedName name="wrn.Subsidy._.Costs._.to._.CalHFA." localSheetId="8" hidden="1">{"Subsidy",#N/A,FALSE,"Subisdy"}</definedName>
    <definedName name="wrn.Subsidy._.Costs._.to._.CalHFA." localSheetId="13" hidden="1">{"Subsidy",#N/A,FALSE,"Subisdy"}</definedName>
    <definedName name="wrn.Subsidy._.Costs._.to._.CalHFA." localSheetId="9" hidden="1">{"Subsidy",#N/A,FALSE,"Subisdy"}</definedName>
    <definedName name="wrn.Subsidy._.Costs._.to._.CalHFA." localSheetId="17" hidden="1">{"Subsidy",#N/A,FALSE,"Subisdy"}</definedName>
    <definedName name="wrn.Subsidy._.Costs._.to._.CalHFA." hidden="1">{"Subsidy",#N/A,FALSE,"Subisdy"}</definedName>
    <definedName name="wrn.Subsidy._.Costs._.to._.CalHFA._1" localSheetId="16" hidden="1">{"Subsidy",#N/A,FALSE,"Subisdy"}</definedName>
    <definedName name="wrn.Subsidy._.Costs._.to._.CalHFA._1" localSheetId="4" hidden="1">{"Subsidy",#N/A,FALSE,"Subisdy"}</definedName>
    <definedName name="wrn.Subsidy._.Costs._.to._.CalHFA._1" localSheetId="15" hidden="1">{"Subsidy",#N/A,FALSE,"Subisdy"}</definedName>
    <definedName name="wrn.Subsidy._.Costs._.to._.CalHFA._1" localSheetId="14" hidden="1">{"Subsidy",#N/A,FALSE,"Subisdy"}</definedName>
    <definedName name="wrn.Subsidy._.Costs._.to._.CalHFA._1" localSheetId="3" hidden="1">{"Subsidy",#N/A,FALSE,"Subisdy"}</definedName>
    <definedName name="wrn.Subsidy._.Costs._.to._.CalHFA._1" localSheetId="12" hidden="1">{"Subsidy",#N/A,FALSE,"Subisdy"}</definedName>
    <definedName name="wrn.Subsidy._.Costs._.to._.CalHFA._1" localSheetId="11" hidden="1">{"Subsidy",#N/A,FALSE,"Subisdy"}</definedName>
    <definedName name="wrn.Subsidy._.Costs._.to._.CalHFA._1" localSheetId="10" hidden="1">{"Subsidy",#N/A,FALSE,"Subisdy"}</definedName>
    <definedName name="wrn.Subsidy._.Costs._.to._.CalHFA._1" localSheetId="6" hidden="1">{"Subsidy",#N/A,FALSE,"Subisdy"}</definedName>
    <definedName name="wrn.Subsidy._.Costs._.to._.CalHFA._1" localSheetId="8" hidden="1">{"Subsidy",#N/A,FALSE,"Subisdy"}</definedName>
    <definedName name="wrn.Subsidy._.Costs._.to._.CalHFA._1" localSheetId="13" hidden="1">{"Subsidy",#N/A,FALSE,"Subisdy"}</definedName>
    <definedName name="wrn.Subsidy._.Costs._.to._.CalHFA._1" localSheetId="9" hidden="1">{"Subsidy",#N/A,FALSE,"Subisdy"}</definedName>
    <definedName name="wrn.Subsidy._.Costs._.to._.CalHFA._1" localSheetId="17" hidden="1">{"Subsidy",#N/A,FALSE,"Subisdy"}</definedName>
    <definedName name="wrn.Subsidy._.Costs._.to._.CalHFA._1" hidden="1">{"Subsidy",#N/A,FALSE,"Subisdy"}</definedName>
    <definedName name="wrn.TEFRA._.INFO." localSheetId="16" hidden="1">{"TEFRA INFO",#N/A,FALSE,"Input"}</definedName>
    <definedName name="wrn.TEFRA._.INFO." localSheetId="4" hidden="1">{"TEFRA INFO",#N/A,FALSE,"Input"}</definedName>
    <definedName name="wrn.TEFRA._.INFO." localSheetId="15" hidden="1">{"TEFRA INFO",#N/A,FALSE,"Input"}</definedName>
    <definedName name="wrn.TEFRA._.INFO." localSheetId="14" hidden="1">{"TEFRA INFO",#N/A,FALSE,"Input"}</definedName>
    <definedName name="wrn.TEFRA._.INFO." localSheetId="3" hidden="1">{"TEFRA INFO",#N/A,FALSE,"Input"}</definedName>
    <definedName name="wrn.TEFRA._.INFO." localSheetId="12" hidden="1">{"TEFRA INFO",#N/A,FALSE,"Input"}</definedName>
    <definedName name="wrn.TEFRA._.INFO." localSheetId="11" hidden="1">{"TEFRA INFO",#N/A,FALSE,"Input"}</definedName>
    <definedName name="wrn.TEFRA._.INFO." localSheetId="10" hidden="1">{"TEFRA INFO",#N/A,FALSE,"Input"}</definedName>
    <definedName name="wrn.TEFRA._.INFO." localSheetId="6" hidden="1">{"TEFRA INFO",#N/A,FALSE,"Input"}</definedName>
    <definedName name="wrn.TEFRA._.INFO." localSheetId="8" hidden="1">{"TEFRA INFO",#N/A,FALSE,"Input"}</definedName>
    <definedName name="wrn.TEFRA._.INFO." localSheetId="13" hidden="1">{"TEFRA INFO",#N/A,FALSE,"Input"}</definedName>
    <definedName name="wrn.TEFRA._.INFO." localSheetId="9" hidden="1">{"TEFRA INFO",#N/A,FALSE,"Input"}</definedName>
    <definedName name="wrn.TEFRA._.INFO." localSheetId="17" hidden="1">{"TEFRA INFO",#N/A,FALSE,"Input"}</definedName>
    <definedName name="wrn.TEFRA._.INFO." hidden="1">{"TEFRA INFO",#N/A,FALSE,"Input"}</definedName>
    <definedName name="wrn.TEFRA._.INFO._1" localSheetId="16" hidden="1">{"TEFRA INFO",#N/A,FALSE,"Input"}</definedName>
    <definedName name="wrn.TEFRA._.INFO._1" localSheetId="4" hidden="1">{"TEFRA INFO",#N/A,FALSE,"Input"}</definedName>
    <definedName name="wrn.TEFRA._.INFO._1" localSheetId="15" hidden="1">{"TEFRA INFO",#N/A,FALSE,"Input"}</definedName>
    <definedName name="wrn.TEFRA._.INFO._1" localSheetId="14" hidden="1">{"TEFRA INFO",#N/A,FALSE,"Input"}</definedName>
    <definedName name="wrn.TEFRA._.INFO._1" localSheetId="3" hidden="1">{"TEFRA INFO",#N/A,FALSE,"Input"}</definedName>
    <definedName name="wrn.TEFRA._.INFO._1" localSheetId="12" hidden="1">{"TEFRA INFO",#N/A,FALSE,"Input"}</definedName>
    <definedName name="wrn.TEFRA._.INFO._1" localSheetId="11" hidden="1">{"TEFRA INFO",#N/A,FALSE,"Input"}</definedName>
    <definedName name="wrn.TEFRA._.INFO._1" localSheetId="10" hidden="1">{"TEFRA INFO",#N/A,FALSE,"Input"}</definedName>
    <definedName name="wrn.TEFRA._.INFO._1" localSheetId="6" hidden="1">{"TEFRA INFO",#N/A,FALSE,"Input"}</definedName>
    <definedName name="wrn.TEFRA._.INFO._1" localSheetId="8" hidden="1">{"TEFRA INFO",#N/A,FALSE,"Input"}</definedName>
    <definedName name="wrn.TEFRA._.INFO._1" localSheetId="13" hidden="1">{"TEFRA INFO",#N/A,FALSE,"Input"}</definedName>
    <definedName name="wrn.TEFRA._.INFO._1" localSheetId="9" hidden="1">{"TEFRA INFO",#N/A,FALSE,"Input"}</definedName>
    <definedName name="wrn.TEFRA._.INFO._1" localSheetId="17" hidden="1">{"TEFRA INFO",#N/A,FALSE,"Input"}</definedName>
    <definedName name="wrn.TEFRA._.INFO._1" hidden="1">{"TEFRA INFO",#N/A,FALSE,"Input"}</definedName>
    <definedName name="wrn.Underwriting._.View." localSheetId="1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9"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localSheetId="1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5"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4"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2"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6"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8"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3"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9"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localSheetId="17"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 localSheetId="14" hidden="1">'[1]Drop Down'!$K$3:$K$4</definedName>
    <definedName name="Yes_No" localSheetId="3" hidden="1">'[1]Drop Down'!$K$3:$K$4</definedName>
    <definedName name="Yes_No" localSheetId="12" hidden="1">'[1]Drop Down'!$K$3:$K$4</definedName>
    <definedName name="Yes_No" localSheetId="11" hidden="1">'[1]Drop Down'!$K$3:$K$4</definedName>
    <definedName name="Yes_No" localSheetId="8" hidden="1">'[1]Drop Down'!$K$3:$K$4</definedName>
    <definedName name="Yes_No" localSheetId="13" hidden="1">'[1]Drop Down'!$K$3:$K$4</definedName>
    <definedName name="Yes_No" localSheetId="9" hidden="1">'[1]Drop Down'!$K$3:$K$4</definedName>
    <definedName name="Yes_No" hidden="1">'[2]Drop Down'!$K$3:$K$4</definedName>
    <definedName name="Z_242DE2B2_F6FE_11D4_9956_444553540000_.wvu.PrintArea" localSheetId="7" hidden="1">'Award, Match, and Revenue'!$A$4:$W$25</definedName>
    <definedName name="Z_242DE2B2_F6FE_11D4_9956_444553540000_.wvu.Rows" localSheetId="7" hidden="1">'Award, Match, and Revenue'!$10:$10,'Award, Match, and Revenue'!$17:$22,'Award, Match, and Revenue'!#REF!</definedName>
    <definedName name="Z_4980F58B_361D_463A_9BE3_3A23A333E513_.wvu.PrintArea" localSheetId="7" hidden="1">'Award, Match, and Revenue'!$A$4:$W$25</definedName>
    <definedName name="Z_4980F58B_361D_463A_9BE3_3A23A333E513_.wvu.Rows" localSheetId="7" hidden="1">'Award, Match, and Revenue'!$10:$10,'Award, Match, and Revenue'!$17:$22,'Award, Match, and Revenue'!#REF!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2" i="94" l="1"/>
  <c r="AH82" i="94" s="1"/>
  <c r="AA81" i="94"/>
  <c r="AH81" i="94" s="1"/>
  <c r="L42" i="104" l="1"/>
  <c r="L43" i="104"/>
  <c r="L41" i="104"/>
  <c r="L45" i="102"/>
  <c r="J45" i="102"/>
  <c r="H45" i="102"/>
  <c r="F45" i="102"/>
  <c r="D45" i="102"/>
  <c r="O53" i="102"/>
  <c r="W24" i="102"/>
  <c r="V24" i="102"/>
  <c r="X24" i="102" s="1"/>
  <c r="W23" i="102"/>
  <c r="V23" i="102"/>
  <c r="X23" i="102" s="1"/>
  <c r="X22" i="102"/>
  <c r="W22" i="102"/>
  <c r="V22" i="102"/>
  <c r="W21" i="102"/>
  <c r="X21" i="102" s="1"/>
  <c r="V21" i="102"/>
  <c r="W20" i="102"/>
  <c r="V20" i="102"/>
  <c r="X20" i="102" s="1"/>
  <c r="W19" i="102"/>
  <c r="V19" i="102"/>
  <c r="X19" i="102" s="1"/>
  <c r="W18" i="102"/>
  <c r="V18" i="102"/>
  <c r="X18" i="102" s="1"/>
  <c r="W17" i="102"/>
  <c r="X17" i="102" s="1"/>
  <c r="V17" i="102"/>
  <c r="W16" i="102"/>
  <c r="V16" i="102"/>
  <c r="X16" i="102" s="1"/>
  <c r="W15" i="102"/>
  <c r="V15" i="102"/>
  <c r="X15" i="102" s="1"/>
  <c r="X14" i="102"/>
  <c r="W14" i="102"/>
  <c r="V14" i="102"/>
  <c r="X13" i="102"/>
  <c r="W13" i="102"/>
  <c r="V13" i="102"/>
  <c r="W12" i="102"/>
  <c r="V12" i="102"/>
  <c r="X12" i="102" s="1"/>
  <c r="W11" i="102"/>
  <c r="V11" i="102"/>
  <c r="X11" i="102" s="1"/>
  <c r="W10" i="102"/>
  <c r="V10" i="102"/>
  <c r="X10" i="102" s="1"/>
  <c r="W9" i="102"/>
  <c r="X9" i="102" s="1"/>
  <c r="V9" i="102"/>
  <c r="W8" i="102"/>
  <c r="V8" i="102"/>
  <c r="X8" i="102" s="1"/>
  <c r="W7" i="102"/>
  <c r="V7" i="102"/>
  <c r="X7" i="102" s="1"/>
  <c r="X6" i="102"/>
  <c r="W6" i="102"/>
  <c r="V6" i="102"/>
  <c r="O52" i="102"/>
  <c r="V5" i="102"/>
  <c r="AK70" i="114"/>
  <c r="AK69" i="114"/>
  <c r="AK68" i="114"/>
  <c r="AK67" i="114"/>
  <c r="AK65" i="114"/>
  <c r="AK64" i="114"/>
  <c r="AK66" i="114"/>
  <c r="AK63" i="114"/>
  <c r="AK61" i="114"/>
  <c r="AK52" i="114"/>
  <c r="AK59" i="114"/>
  <c r="AK58" i="114"/>
  <c r="AK57" i="114"/>
  <c r="AK55" i="114"/>
  <c r="AK53" i="114"/>
  <c r="AJ51" i="114"/>
  <c r="AK50" i="114"/>
  <c r="AK49" i="114"/>
  <c r="AK48" i="114"/>
  <c r="AK47" i="114"/>
  <c r="AK46" i="114"/>
  <c r="AK45" i="114"/>
  <c r="AK44" i="114"/>
  <c r="AK43" i="114"/>
  <c r="AK39" i="114"/>
  <c r="AK40" i="114"/>
  <c r="AK41" i="114"/>
  <c r="AK42" i="114"/>
  <c r="AK38" i="114"/>
  <c r="AK37" i="114"/>
  <c r="AK36" i="114"/>
  <c r="AK32" i="114"/>
  <c r="AK33" i="114"/>
  <c r="AK34" i="114"/>
  <c r="AK35" i="114"/>
  <c r="AK31" i="114"/>
  <c r="AK29" i="114"/>
  <c r="AK28" i="114"/>
  <c r="AK27" i="114"/>
  <c r="AK26" i="114"/>
  <c r="AK25" i="114"/>
  <c r="AK17" i="114"/>
  <c r="AK18" i="114"/>
  <c r="AK19" i="114"/>
  <c r="AK20" i="114"/>
  <c r="AK21" i="114"/>
  <c r="AK22" i="114"/>
  <c r="AK23" i="114"/>
  <c r="AK24" i="114"/>
  <c r="AK16" i="114"/>
  <c r="AK8" i="114"/>
  <c r="AK9" i="114"/>
  <c r="AK10" i="114"/>
  <c r="AK11" i="114"/>
  <c r="AK12" i="114"/>
  <c r="AK13" i="114"/>
  <c r="AK14" i="114"/>
  <c r="AK15" i="114"/>
  <c r="AK7" i="114"/>
  <c r="AK5" i="114"/>
  <c r="AK6" i="114"/>
  <c r="AK4" i="114"/>
  <c r="M14" i="103"/>
  <c r="D11" i="108" l="1"/>
  <c r="D10" i="108"/>
  <c r="A59" i="112"/>
  <c r="A93" i="112"/>
  <c r="W19" i="29" l="1"/>
  <c r="W17" i="29"/>
  <c r="AK85" i="94"/>
  <c r="AK79" i="94"/>
  <c r="AK75" i="94" l="1"/>
  <c r="T45" i="102"/>
  <c r="T44" i="102"/>
  <c r="T41" i="102"/>
  <c r="T40" i="102"/>
  <c r="AK67" i="94"/>
  <c r="AM69" i="112" l="1"/>
  <c r="AM68" i="112"/>
  <c r="AJ1" i="113" l="1"/>
  <c r="AK1" i="114" l="1"/>
  <c r="AH145" i="113" l="1"/>
  <c r="AH144" i="113"/>
  <c r="AH143" i="113"/>
  <c r="AH142" i="113"/>
  <c r="AH141" i="113"/>
  <c r="AH140" i="113"/>
  <c r="AH139" i="113"/>
  <c r="AH138" i="113"/>
  <c r="AH137" i="113"/>
  <c r="AH136" i="113"/>
  <c r="AH135" i="113"/>
  <c r="AH134" i="113"/>
  <c r="AH133" i="113"/>
  <c r="AH132" i="113"/>
  <c r="AH131" i="113"/>
  <c r="AH130" i="113"/>
  <c r="AH129" i="113"/>
  <c r="AH128" i="113"/>
  <c r="AH127" i="113"/>
  <c r="AH124" i="113"/>
  <c r="AH121" i="113"/>
  <c r="AH122" i="113"/>
  <c r="AH123" i="113"/>
  <c r="AH120" i="113"/>
  <c r="L145" i="113"/>
  <c r="L124" i="113"/>
  <c r="L132" i="113"/>
  <c r="AK27" i="29"/>
  <c r="P27" i="29"/>
  <c r="W21" i="29" l="1"/>
  <c r="W22" i="29"/>
  <c r="W20" i="29"/>
  <c r="W16" i="29"/>
  <c r="D2" i="102" l="1"/>
  <c r="D3" i="102"/>
  <c r="N51" i="102"/>
  <c r="N50" i="102"/>
  <c r="J21" i="29" l="1"/>
  <c r="P50" i="102"/>
  <c r="AI21" i="29" s="1"/>
  <c r="J22" i="29"/>
  <c r="P51" i="102"/>
  <c r="AI22" i="29" s="1"/>
  <c r="T36" i="102"/>
  <c r="T35" i="102"/>
  <c r="T34" i="102"/>
  <c r="T33" i="102"/>
  <c r="T32" i="102"/>
  <c r="T31" i="102"/>
  <c r="O34" i="102"/>
  <c r="T37" i="102" l="1"/>
  <c r="Y24" i="102"/>
  <c r="Y23" i="102"/>
  <c r="Y22" i="102"/>
  <c r="Y21" i="102"/>
  <c r="Y20" i="102"/>
  <c r="Y19" i="102"/>
  <c r="Y18" i="102"/>
  <c r="Y17" i="102"/>
  <c r="Y16" i="102"/>
  <c r="Y15" i="102"/>
  <c r="Y14" i="102"/>
  <c r="Y13" i="102"/>
  <c r="Y12" i="102"/>
  <c r="Y11" i="102"/>
  <c r="Y10" i="102"/>
  <c r="Y9" i="102"/>
  <c r="Y8" i="102"/>
  <c r="Y7" i="102"/>
  <c r="Y6" i="102"/>
  <c r="Y5" i="102"/>
  <c r="U24" i="102"/>
  <c r="U23" i="102"/>
  <c r="U22" i="102"/>
  <c r="U21" i="102"/>
  <c r="U20" i="102"/>
  <c r="U19" i="102"/>
  <c r="U18" i="102"/>
  <c r="U17" i="102"/>
  <c r="U16" i="102"/>
  <c r="U15" i="102"/>
  <c r="U14" i="102"/>
  <c r="U13" i="102"/>
  <c r="U12" i="102"/>
  <c r="U11" i="102"/>
  <c r="U10" i="102"/>
  <c r="U9" i="102"/>
  <c r="U8" i="102"/>
  <c r="U7" i="102"/>
  <c r="U6" i="102"/>
  <c r="U5" i="102"/>
  <c r="W5" i="102" s="1"/>
  <c r="T43" i="102" l="1"/>
  <c r="T42" i="102"/>
  <c r="U37" i="102"/>
  <c r="U32" i="102"/>
  <c r="U31" i="102"/>
  <c r="U36" i="102"/>
  <c r="U34" i="102"/>
  <c r="U35" i="102"/>
  <c r="U33" i="102"/>
  <c r="A18" i="94"/>
  <c r="AK18" i="94" s="1"/>
  <c r="A19" i="94"/>
  <c r="AK19" i="94" s="1"/>
  <c r="A20" i="94"/>
  <c r="AK20" i="94" s="1"/>
  <c r="A21" i="94"/>
  <c r="AK21" i="94" s="1"/>
  <c r="A22" i="94"/>
  <c r="AK22" i="94" s="1"/>
  <c r="A23" i="94"/>
  <c r="AK23" i="94" s="1"/>
  <c r="A24" i="94"/>
  <c r="AK24" i="94" s="1"/>
  <c r="A25" i="94"/>
  <c r="AK25" i="94" s="1"/>
  <c r="A26" i="94"/>
  <c r="AK26" i="94" s="1"/>
  <c r="A27" i="94"/>
  <c r="AK27" i="94" s="1"/>
  <c r="A13" i="94"/>
  <c r="AK13" i="94" s="1"/>
  <c r="A14" i="94"/>
  <c r="AK14" i="94" s="1"/>
  <c r="A15" i="94"/>
  <c r="AK15" i="94" s="1"/>
  <c r="A16" i="94"/>
  <c r="AK16" i="94" s="1"/>
  <c r="A17" i="94"/>
  <c r="AK17" i="94" s="1"/>
  <c r="A40" i="112"/>
  <c r="A39" i="112"/>
  <c r="A38" i="112"/>
  <c r="A37" i="112"/>
  <c r="A36" i="112"/>
  <c r="A35" i="112"/>
  <c r="A34" i="112"/>
  <c r="A33" i="112"/>
  <c r="A32" i="112"/>
  <c r="A31" i="112"/>
  <c r="A30" i="112"/>
  <c r="A29" i="112"/>
  <c r="A28" i="112"/>
  <c r="A27" i="112"/>
  <c r="A26" i="112"/>
  <c r="A25" i="112"/>
  <c r="T46" i="102" l="1"/>
  <c r="U43" i="102" s="1"/>
  <c r="AJ113" i="113"/>
  <c r="AB95" i="113"/>
  <c r="U45" i="102" l="1"/>
  <c r="U46" i="102"/>
  <c r="U41" i="102"/>
  <c r="U40" i="102"/>
  <c r="U42" i="102"/>
  <c r="U44" i="102"/>
  <c r="AM98" i="112"/>
  <c r="S74" i="94" l="1"/>
  <c r="AH74" i="94"/>
  <c r="AM83" i="112"/>
  <c r="AM82" i="112"/>
  <c r="AM81" i="112"/>
  <c r="AM80" i="112"/>
  <c r="AM79" i="112"/>
  <c r="AM77" i="112"/>
  <c r="AN77" i="112" s="1"/>
  <c r="AM76" i="112"/>
  <c r="AN76" i="112" s="1"/>
  <c r="AM75" i="112"/>
  <c r="AN75" i="112" s="1"/>
  <c r="AM74" i="112"/>
  <c r="AM73" i="112"/>
  <c r="AK74" i="94" l="1"/>
  <c r="AM52" i="94"/>
  <c r="AM48" i="94"/>
  <c r="AM49" i="94"/>
  <c r="AM47" i="94"/>
  <c r="AM45" i="94"/>
  <c r="AM44" i="94"/>
  <c r="AM99" i="112"/>
  <c r="AM100" i="112"/>
  <c r="AM101" i="112"/>
  <c r="AM102" i="112"/>
  <c r="AM103" i="112"/>
  <c r="AM104" i="112"/>
  <c r="AN98" i="112"/>
  <c r="AN73" i="112"/>
  <c r="AN43" i="94" l="1"/>
  <c r="AN49" i="94" l="1"/>
  <c r="AN48" i="94"/>
  <c r="AN47" i="94"/>
  <c r="AN45" i="94"/>
  <c r="AO45" i="94" s="1"/>
  <c r="AN44" i="94"/>
  <c r="AO44" i="94" s="1"/>
  <c r="AH42" i="94" l="1"/>
  <c r="A24" i="112"/>
  <c r="A23" i="112"/>
  <c r="A22" i="112"/>
  <c r="A21" i="112"/>
  <c r="A20" i="112"/>
  <c r="A19" i="112"/>
  <c r="AN100" i="112"/>
  <c r="AN99" i="112"/>
  <c r="AN101" i="112"/>
  <c r="AN102" i="112"/>
  <c r="A7" i="94"/>
  <c r="A8" i="94"/>
  <c r="AK8" i="94" s="1"/>
  <c r="A9" i="94"/>
  <c r="AK9" i="94" s="1"/>
  <c r="A10" i="94"/>
  <c r="AK10" i="94" s="1"/>
  <c r="A11" i="94"/>
  <c r="AK11" i="94" s="1"/>
  <c r="A12" i="94"/>
  <c r="AK12" i="94" s="1"/>
  <c r="A6" i="94"/>
  <c r="AK6" i="94" s="1"/>
  <c r="AN52" i="112"/>
  <c r="AN51" i="112"/>
  <c r="AN50" i="112"/>
  <c r="AN104" i="112" l="1"/>
  <c r="AN103" i="112"/>
  <c r="AN83" i="112"/>
  <c r="AN82" i="112"/>
  <c r="AN81" i="112"/>
  <c r="AN80" i="112"/>
  <c r="AN79" i="112"/>
  <c r="AA70" i="112" s="1"/>
  <c r="AN74" i="112"/>
  <c r="S70" i="112" s="1"/>
  <c r="AK70" i="112" s="1"/>
  <c r="AN67" i="112"/>
  <c r="AJ1" i="112"/>
  <c r="AN69" i="112" l="1"/>
  <c r="AN68" i="112"/>
  <c r="AE96" i="112"/>
  <c r="AK96" i="112" s="1"/>
  <c r="AK90" i="94"/>
  <c r="AK89" i="94"/>
  <c r="AK88" i="94"/>
  <c r="AK87" i="94"/>
  <c r="AK86" i="94"/>
  <c r="F32" i="94"/>
  <c r="D36" i="94" s="1"/>
  <c r="D66" i="114" s="1"/>
  <c r="F31" i="94"/>
  <c r="D35" i="94" s="1"/>
  <c r="D65" i="114" s="1"/>
  <c r="F30" i="94"/>
  <c r="D34" i="94" s="1"/>
  <c r="D64" i="114" s="1"/>
  <c r="F29" i="94"/>
  <c r="D33" i="94" s="1"/>
  <c r="D63" i="114" s="1"/>
  <c r="AK7" i="94"/>
  <c r="AK4" i="94" s="1"/>
  <c r="AK39" i="94"/>
  <c r="AM63" i="94"/>
  <c r="AN63" i="94" s="1"/>
  <c r="AM62" i="94"/>
  <c r="AN62" i="94" s="1"/>
  <c r="AM61" i="94"/>
  <c r="AN61" i="94" s="1"/>
  <c r="AM60" i="94"/>
  <c r="AN60" i="94" s="1"/>
  <c r="AM59" i="94"/>
  <c r="AN59" i="94" s="1"/>
  <c r="AM58" i="94"/>
  <c r="AN58" i="94" s="1"/>
  <c r="AM57" i="94"/>
  <c r="AN57" i="94" s="1"/>
  <c r="AM56" i="94"/>
  <c r="AN56" i="94" s="1"/>
  <c r="AM55" i="94"/>
  <c r="AN55" i="94" s="1"/>
  <c r="AM54" i="94"/>
  <c r="AN54" i="94" s="1"/>
  <c r="AM53" i="94"/>
  <c r="AN53" i="94" s="1"/>
  <c r="AN52" i="94"/>
  <c r="AJ1" i="94"/>
  <c r="AK65" i="94"/>
  <c r="AK66" i="112" l="1"/>
  <c r="AK62" i="112" s="1"/>
  <c r="AH50" i="94"/>
  <c r="AK50" i="94" s="1"/>
  <c r="AK83" i="94"/>
  <c r="AO49" i="94"/>
  <c r="AO48" i="94"/>
  <c r="AK42" i="94"/>
  <c r="AO47" i="94"/>
  <c r="AK46" i="94" l="1"/>
  <c r="AK38" i="94" s="1"/>
  <c r="AK37" i="94" s="1"/>
  <c r="AJ1" i="82"/>
  <c r="N49" i="102" l="1"/>
  <c r="N52" i="102" s="1"/>
  <c r="AK1" i="111"/>
  <c r="J20" i="29" l="1"/>
  <c r="P49" i="102"/>
  <c r="AK1" i="110"/>
  <c r="AI20" i="29" l="1"/>
  <c r="P52" i="102"/>
  <c r="R2" i="108"/>
  <c r="A2" i="107"/>
  <c r="A1" i="104"/>
  <c r="M1" i="103"/>
  <c r="V2" i="102"/>
  <c r="AJ1" i="101"/>
  <c r="AJ1" i="29"/>
  <c r="H34" i="29" l="1"/>
  <c r="E42" i="102" l="1"/>
  <c r="E41" i="102"/>
  <c r="A10" i="108"/>
  <c r="H20" i="107"/>
  <c r="D62" i="108"/>
  <c r="E62" i="108" s="1"/>
  <c r="F62" i="108" s="1"/>
  <c r="G62" i="108" s="1"/>
  <c r="H62" i="108" s="1"/>
  <c r="I62" i="108" s="1"/>
  <c r="J62" i="108" s="1"/>
  <c r="K62" i="108" s="1"/>
  <c r="L62" i="108" s="1"/>
  <c r="M62" i="108" s="1"/>
  <c r="N62" i="108" s="1"/>
  <c r="O62" i="108" s="1"/>
  <c r="P62" i="108" s="1"/>
  <c r="Q62" i="108" s="1"/>
  <c r="R62" i="108" s="1"/>
  <c r="C28" i="108"/>
  <c r="C27" i="108"/>
  <c r="C26" i="108"/>
  <c r="R26" i="108" s="1"/>
  <c r="A26" i="108"/>
  <c r="C25" i="108"/>
  <c r="C24" i="108"/>
  <c r="C23" i="108"/>
  <c r="A11" i="108"/>
  <c r="A50" i="108"/>
  <c r="A52" i="108"/>
  <c r="A53" i="108"/>
  <c r="A51" i="108"/>
  <c r="AR4" i="102"/>
  <c r="AQ4" i="102"/>
  <c r="T25" i="102"/>
  <c r="Q26" i="29" s="1"/>
  <c r="S25" i="102"/>
  <c r="AF25" i="29" s="1"/>
  <c r="R25" i="102"/>
  <c r="Q25" i="102"/>
  <c r="K25" i="29" s="1"/>
  <c r="O25" i="102"/>
  <c r="M25" i="102"/>
  <c r="H25" i="102"/>
  <c r="E25" i="102"/>
  <c r="AH75" i="94" s="1"/>
  <c r="A1" i="107"/>
  <c r="D53" i="108"/>
  <c r="D52" i="108"/>
  <c r="Q52" i="108" s="1"/>
  <c r="D51" i="108"/>
  <c r="N51" i="108" s="1"/>
  <c r="D50" i="108"/>
  <c r="E50" i="108" s="1"/>
  <c r="F50" i="108" s="1"/>
  <c r="G50" i="108" s="1"/>
  <c r="H50" i="108" s="1"/>
  <c r="I50" i="108" s="1"/>
  <c r="J50" i="108" s="1"/>
  <c r="K50" i="108" s="1"/>
  <c r="L50" i="108" s="1"/>
  <c r="M50" i="108" s="1"/>
  <c r="N50" i="108" s="1"/>
  <c r="O50" i="108" s="1"/>
  <c r="P50" i="108" s="1"/>
  <c r="Q50" i="108" s="1"/>
  <c r="R50" i="108" s="1"/>
  <c r="D49" i="108"/>
  <c r="O49" i="108" s="1"/>
  <c r="D48" i="108"/>
  <c r="E48" i="108" s="1"/>
  <c r="D46" i="108"/>
  <c r="D39" i="108"/>
  <c r="E39" i="108" s="1"/>
  <c r="F39" i="108" s="1"/>
  <c r="G39" i="108" s="1"/>
  <c r="H39" i="108" s="1"/>
  <c r="I39" i="108" s="1"/>
  <c r="J39" i="108" s="1"/>
  <c r="K39" i="108" s="1"/>
  <c r="L39" i="108" s="1"/>
  <c r="M39" i="108" s="1"/>
  <c r="N39" i="108" s="1"/>
  <c r="O39" i="108" s="1"/>
  <c r="P39" i="108" s="1"/>
  <c r="Q39" i="108" s="1"/>
  <c r="R39" i="108" s="1"/>
  <c r="D38" i="108"/>
  <c r="E38" i="108" s="1"/>
  <c r="F38" i="108" s="1"/>
  <c r="G38" i="108" s="1"/>
  <c r="H38" i="108" s="1"/>
  <c r="I38" i="108" s="1"/>
  <c r="J38" i="108" s="1"/>
  <c r="K38" i="108" s="1"/>
  <c r="L38" i="108" s="1"/>
  <c r="M38" i="108" s="1"/>
  <c r="N38" i="108" s="1"/>
  <c r="O38" i="108" s="1"/>
  <c r="P38" i="108" s="1"/>
  <c r="Q38" i="108" s="1"/>
  <c r="R38" i="108" s="1"/>
  <c r="D37" i="108"/>
  <c r="E37" i="108" s="1"/>
  <c r="F37" i="108" s="1"/>
  <c r="G37" i="108" s="1"/>
  <c r="H37" i="108" s="1"/>
  <c r="I37" i="108" s="1"/>
  <c r="J37" i="108" s="1"/>
  <c r="K37" i="108" s="1"/>
  <c r="L37" i="108" s="1"/>
  <c r="M37" i="108" s="1"/>
  <c r="N37" i="108" s="1"/>
  <c r="O37" i="108" s="1"/>
  <c r="P37" i="108" s="1"/>
  <c r="Q37" i="108" s="1"/>
  <c r="R37" i="108" s="1"/>
  <c r="D16" i="108"/>
  <c r="E16" i="108" s="1"/>
  <c r="F16" i="108" s="1"/>
  <c r="G16" i="108" s="1"/>
  <c r="H16" i="108" s="1"/>
  <c r="I16" i="108" s="1"/>
  <c r="J16" i="108" s="1"/>
  <c r="K16" i="108" s="1"/>
  <c r="L16" i="108" s="1"/>
  <c r="M16" i="108" s="1"/>
  <c r="N16" i="108" s="1"/>
  <c r="O16" i="108" s="1"/>
  <c r="P16" i="108" s="1"/>
  <c r="Q16" i="108" s="1"/>
  <c r="R16" i="108" s="1"/>
  <c r="D15" i="108"/>
  <c r="E15" i="108" s="1"/>
  <c r="C37" i="107"/>
  <c r="A9" i="108" s="1"/>
  <c r="C36" i="107"/>
  <c r="A8" i="108" s="1"/>
  <c r="K3" i="108"/>
  <c r="E133" i="107"/>
  <c r="D133" i="107"/>
  <c r="E122" i="107"/>
  <c r="D122" i="107"/>
  <c r="E119" i="107"/>
  <c r="D119" i="107"/>
  <c r="E111" i="107"/>
  <c r="D104" i="107"/>
  <c r="D103" i="107"/>
  <c r="D102" i="107"/>
  <c r="E100" i="107"/>
  <c r="D98" i="107"/>
  <c r="D97" i="107"/>
  <c r="D93" i="107"/>
  <c r="E90" i="107"/>
  <c r="D79" i="107"/>
  <c r="E77" i="107"/>
  <c r="D77" i="107"/>
  <c r="E69" i="107"/>
  <c r="D63" i="107"/>
  <c r="D59" i="107"/>
  <c r="C48" i="107"/>
  <c r="E43" i="107"/>
  <c r="D17" i="108" s="1"/>
  <c r="E17" i="108" s="1"/>
  <c r="E29" i="107"/>
  <c r="D20" i="107"/>
  <c r="E16" i="107"/>
  <c r="D16" i="107"/>
  <c r="AM6" i="102"/>
  <c r="AP6" i="102" s="1"/>
  <c r="AM7" i="102"/>
  <c r="AP7" i="102" s="1"/>
  <c r="AM8" i="102"/>
  <c r="AP8" i="102" s="1"/>
  <c r="AM9" i="102"/>
  <c r="AP9" i="102" s="1"/>
  <c r="AM10" i="102"/>
  <c r="AP10" i="102" s="1"/>
  <c r="AM11" i="102"/>
  <c r="AP11" i="102" s="1"/>
  <c r="AM12" i="102"/>
  <c r="AP12" i="102" s="1"/>
  <c r="AM13" i="102"/>
  <c r="AP13" i="102" s="1"/>
  <c r="AM14" i="102"/>
  <c r="AP14" i="102" s="1"/>
  <c r="AM15" i="102"/>
  <c r="AP15" i="102" s="1"/>
  <c r="AM16" i="102"/>
  <c r="AP16" i="102" s="1"/>
  <c r="AM17" i="102"/>
  <c r="AP17" i="102" s="1"/>
  <c r="AM18" i="102"/>
  <c r="AP18" i="102" s="1"/>
  <c r="AM19" i="102"/>
  <c r="AP19" i="102" s="1"/>
  <c r="AM20" i="102"/>
  <c r="AP20" i="102" s="1"/>
  <c r="AM21" i="102"/>
  <c r="AP21" i="102" s="1"/>
  <c r="AM22" i="102"/>
  <c r="AP22" i="102" s="1"/>
  <c r="AM23" i="102"/>
  <c r="AP23" i="102" s="1"/>
  <c r="AM24" i="102"/>
  <c r="AP24" i="102" s="1"/>
  <c r="AM5" i="102"/>
  <c r="AP5" i="102" s="1"/>
  <c r="AL24" i="102"/>
  <c r="AO24" i="102" s="1"/>
  <c r="AL6" i="102"/>
  <c r="AO6" i="102" s="1"/>
  <c r="AL7" i="102"/>
  <c r="AO7" i="102" s="1"/>
  <c r="AL8" i="102"/>
  <c r="AO8" i="102" s="1"/>
  <c r="AL9" i="102"/>
  <c r="AO9" i="102" s="1"/>
  <c r="AL10" i="102"/>
  <c r="AO10" i="102" s="1"/>
  <c r="AL11" i="102"/>
  <c r="AO11" i="102" s="1"/>
  <c r="AL12" i="102"/>
  <c r="AO12" i="102" s="1"/>
  <c r="AL13" i="102"/>
  <c r="AO13" i="102" s="1"/>
  <c r="AL14" i="102"/>
  <c r="AO14" i="102" s="1"/>
  <c r="AL15" i="102"/>
  <c r="AO15" i="102" s="1"/>
  <c r="AL16" i="102"/>
  <c r="AO16" i="102" s="1"/>
  <c r="AL17" i="102"/>
  <c r="AO17" i="102" s="1"/>
  <c r="AL18" i="102"/>
  <c r="AO18" i="102" s="1"/>
  <c r="AL19" i="102"/>
  <c r="AO19" i="102" s="1"/>
  <c r="AL20" i="102"/>
  <c r="AO20" i="102" s="1"/>
  <c r="AL21" i="102"/>
  <c r="AO21" i="102" s="1"/>
  <c r="AL22" i="102"/>
  <c r="AO22" i="102" s="1"/>
  <c r="AL23" i="102"/>
  <c r="AO23" i="102" s="1"/>
  <c r="AL5" i="102"/>
  <c r="Y28" i="94" l="1"/>
  <c r="V24" i="29"/>
  <c r="J37" i="102"/>
  <c r="N37" i="102" s="1"/>
  <c r="W25" i="29"/>
  <c r="AH76" i="94"/>
  <c r="N35" i="102"/>
  <c r="J38" i="102"/>
  <c r="N38" i="102" s="1"/>
  <c r="E113" i="107"/>
  <c r="D40" i="108" s="1"/>
  <c r="E40" i="108" s="1"/>
  <c r="F40" i="108" s="1"/>
  <c r="G40" i="108" s="1"/>
  <c r="H40" i="108" s="1"/>
  <c r="I40" i="108" s="1"/>
  <c r="J40" i="108" s="1"/>
  <c r="K40" i="108" s="1"/>
  <c r="L40" i="108" s="1"/>
  <c r="M40" i="108" s="1"/>
  <c r="N40" i="108" s="1"/>
  <c r="O40" i="108" s="1"/>
  <c r="P40" i="108" s="1"/>
  <c r="Q40" i="108" s="1"/>
  <c r="R40" i="108" s="1"/>
  <c r="M48" i="108"/>
  <c r="E49" i="108"/>
  <c r="Q49" i="108"/>
  <c r="I49" i="108"/>
  <c r="H49" i="108"/>
  <c r="P49" i="108"/>
  <c r="D27" i="108"/>
  <c r="D100" i="107"/>
  <c r="D35" i="108" s="1"/>
  <c r="E35" i="108" s="1"/>
  <c r="F35" i="108" s="1"/>
  <c r="G35" i="108" s="1"/>
  <c r="H35" i="108" s="1"/>
  <c r="I35" i="108" s="1"/>
  <c r="J35" i="108" s="1"/>
  <c r="K35" i="108" s="1"/>
  <c r="L35" i="108" s="1"/>
  <c r="M35" i="108" s="1"/>
  <c r="N35" i="108" s="1"/>
  <c r="O35" i="108" s="1"/>
  <c r="P35" i="108" s="1"/>
  <c r="Q35" i="108" s="1"/>
  <c r="R35" i="108" s="1"/>
  <c r="O51" i="108"/>
  <c r="D21" i="107"/>
  <c r="D111" i="107"/>
  <c r="D36" i="108" s="1"/>
  <c r="E36" i="108" s="1"/>
  <c r="F36" i="108" s="1"/>
  <c r="G36" i="108" s="1"/>
  <c r="H36" i="108" s="1"/>
  <c r="I36" i="108" s="1"/>
  <c r="J36" i="108" s="1"/>
  <c r="K36" i="108" s="1"/>
  <c r="L36" i="108" s="1"/>
  <c r="M36" i="108" s="1"/>
  <c r="N36" i="108" s="1"/>
  <c r="O36" i="108" s="1"/>
  <c r="P36" i="108" s="1"/>
  <c r="Q36" i="108" s="1"/>
  <c r="R36" i="108" s="1"/>
  <c r="AL25" i="102"/>
  <c r="G49" i="108"/>
  <c r="F52" i="108"/>
  <c r="M49" i="108"/>
  <c r="M26" i="108"/>
  <c r="E26" i="108"/>
  <c r="K26" i="108"/>
  <c r="I52" i="108"/>
  <c r="R52" i="108"/>
  <c r="M52" i="108"/>
  <c r="J52" i="108"/>
  <c r="K52" i="108"/>
  <c r="N52" i="108"/>
  <c r="G52" i="108"/>
  <c r="E52" i="108"/>
  <c r="O52" i="108"/>
  <c r="L51" i="108"/>
  <c r="P51" i="108"/>
  <c r="Q48" i="108"/>
  <c r="O48" i="108"/>
  <c r="F15" i="108"/>
  <c r="E18" i="108"/>
  <c r="E27" i="108"/>
  <c r="F17" i="108"/>
  <c r="E28" i="108"/>
  <c r="Q26" i="108"/>
  <c r="I26" i="108"/>
  <c r="P26" i="108"/>
  <c r="H26" i="108"/>
  <c r="O26" i="108"/>
  <c r="G26" i="108"/>
  <c r="N26" i="108"/>
  <c r="F26" i="108"/>
  <c r="L26" i="108"/>
  <c r="D26" i="108"/>
  <c r="J26" i="108"/>
  <c r="D28" i="108"/>
  <c r="D18" i="108"/>
  <c r="N46" i="108"/>
  <c r="F46" i="108"/>
  <c r="K46" i="108"/>
  <c r="R46" i="108"/>
  <c r="J46" i="108"/>
  <c r="M46" i="108"/>
  <c r="L46" i="108"/>
  <c r="D54" i="108"/>
  <c r="I46" i="108"/>
  <c r="H46" i="108"/>
  <c r="G46" i="108"/>
  <c r="Q46" i="108"/>
  <c r="E46" i="108"/>
  <c r="K53" i="108"/>
  <c r="Q53" i="108"/>
  <c r="I53" i="108"/>
  <c r="P53" i="108"/>
  <c r="H53" i="108"/>
  <c r="O53" i="108"/>
  <c r="G53" i="108"/>
  <c r="N53" i="108"/>
  <c r="M53" i="108"/>
  <c r="L53" i="108"/>
  <c r="J53" i="108"/>
  <c r="F53" i="108"/>
  <c r="E53" i="108"/>
  <c r="O46" i="108"/>
  <c r="R53" i="108"/>
  <c r="P46" i="108"/>
  <c r="N48" i="108"/>
  <c r="F48" i="108"/>
  <c r="K48" i="108"/>
  <c r="R48" i="108"/>
  <c r="J48" i="108"/>
  <c r="P48" i="108"/>
  <c r="G48" i="108"/>
  <c r="M51" i="108"/>
  <c r="E51" i="108"/>
  <c r="K51" i="108"/>
  <c r="R51" i="108"/>
  <c r="J51" i="108"/>
  <c r="Q51" i="108"/>
  <c r="I51" i="108"/>
  <c r="H48" i="108"/>
  <c r="F51" i="108"/>
  <c r="I48" i="108"/>
  <c r="G51" i="108"/>
  <c r="L48" i="108"/>
  <c r="H51" i="108"/>
  <c r="J49" i="108"/>
  <c r="R49" i="108"/>
  <c r="H52" i="108"/>
  <c r="P52" i="108"/>
  <c r="K49" i="108"/>
  <c r="L49" i="108"/>
  <c r="F49" i="108"/>
  <c r="N49" i="108"/>
  <c r="L52" i="108"/>
  <c r="D64" i="107"/>
  <c r="D69" i="107" s="1"/>
  <c r="E51" i="107"/>
  <c r="E52" i="107" s="1"/>
  <c r="D82" i="107"/>
  <c r="D90" i="107" s="1"/>
  <c r="D85" i="107"/>
  <c r="AO5" i="102"/>
  <c r="AM25" i="102"/>
  <c r="AH78" i="94" l="1"/>
  <c r="AH77" i="94"/>
  <c r="AK77" i="94" s="1"/>
  <c r="AK76" i="94"/>
  <c r="AK78" i="94"/>
  <c r="D63" i="108"/>
  <c r="D72" i="108"/>
  <c r="N39" i="102"/>
  <c r="E123" i="107"/>
  <c r="E134" i="107" s="1"/>
  <c r="D113" i="107"/>
  <c r="D34" i="108" s="1"/>
  <c r="D41" i="108" s="1"/>
  <c r="P54" i="108"/>
  <c r="P72" i="108" s="1"/>
  <c r="G54" i="108"/>
  <c r="G72" i="108" s="1"/>
  <c r="J54" i="108"/>
  <c r="J72" i="108" s="1"/>
  <c r="F28" i="108"/>
  <c r="G17" i="108"/>
  <c r="D59" i="108"/>
  <c r="R54" i="108"/>
  <c r="R72" i="108" s="1"/>
  <c r="H54" i="108"/>
  <c r="H72" i="108" s="1"/>
  <c r="N54" i="108"/>
  <c r="N72" i="108" s="1"/>
  <c r="F18" i="108"/>
  <c r="F27" i="108"/>
  <c r="G15" i="108"/>
  <c r="F54" i="108"/>
  <c r="F72" i="108" s="1"/>
  <c r="L54" i="108"/>
  <c r="L72" i="108" s="1"/>
  <c r="O54" i="108"/>
  <c r="O72" i="108" s="1"/>
  <c r="E54" i="108"/>
  <c r="E72" i="108" s="1"/>
  <c r="M54" i="108"/>
  <c r="M72" i="108" s="1"/>
  <c r="K54" i="108"/>
  <c r="K72" i="108" s="1"/>
  <c r="Q54" i="108"/>
  <c r="Q72" i="108" s="1"/>
  <c r="I54" i="108"/>
  <c r="I72" i="108" s="1"/>
  <c r="G59" i="108" l="1"/>
  <c r="E34" i="108"/>
  <c r="F34" i="108" s="1"/>
  <c r="G34" i="108" s="1"/>
  <c r="P59" i="108"/>
  <c r="F59" i="108"/>
  <c r="R59" i="108"/>
  <c r="E59" i="108"/>
  <c r="N59" i="108"/>
  <c r="H59" i="108"/>
  <c r="M59" i="108"/>
  <c r="G28" i="108"/>
  <c r="H17" i="108"/>
  <c r="O59" i="108"/>
  <c r="I59" i="108"/>
  <c r="J59" i="108"/>
  <c r="L59" i="108"/>
  <c r="Q59" i="108"/>
  <c r="K59" i="108"/>
  <c r="H15" i="108"/>
  <c r="G18" i="108"/>
  <c r="G27" i="108"/>
  <c r="F41" i="108" l="1"/>
  <c r="E41" i="108"/>
  <c r="H34" i="108"/>
  <c r="G41" i="108"/>
  <c r="H27" i="108"/>
  <c r="I15" i="108"/>
  <c r="H18" i="108"/>
  <c r="I17" i="108"/>
  <c r="H28" i="108"/>
  <c r="I34" i="108" l="1"/>
  <c r="H41" i="108"/>
  <c r="I18" i="108"/>
  <c r="I27" i="108"/>
  <c r="J15" i="108"/>
  <c r="J17" i="108"/>
  <c r="I28" i="108"/>
  <c r="K17" i="108" l="1"/>
  <c r="J28" i="108"/>
  <c r="K15" i="108"/>
  <c r="J18" i="108"/>
  <c r="J27" i="108"/>
  <c r="J34" i="108"/>
  <c r="I41" i="108"/>
  <c r="L15" i="108" l="1"/>
  <c r="K18" i="108"/>
  <c r="K27" i="108"/>
  <c r="L17" i="108"/>
  <c r="K28" i="108"/>
  <c r="J41" i="108"/>
  <c r="K34" i="108"/>
  <c r="M15" i="108" l="1"/>
  <c r="L18" i="108"/>
  <c r="L27" i="108"/>
  <c r="K41" i="108"/>
  <c r="L34" i="108"/>
  <c r="M17" i="108"/>
  <c r="L28" i="108"/>
  <c r="N17" i="108" l="1"/>
  <c r="M28" i="108"/>
  <c r="L41" i="108"/>
  <c r="M34" i="108"/>
  <c r="N15" i="108"/>
  <c r="M18" i="108"/>
  <c r="M27" i="108"/>
  <c r="N18" i="108" l="1"/>
  <c r="N27" i="108"/>
  <c r="O15" i="108"/>
  <c r="M41" i="108"/>
  <c r="N34" i="108"/>
  <c r="N28" i="108"/>
  <c r="O17" i="108"/>
  <c r="O28" i="108" l="1"/>
  <c r="P17" i="108"/>
  <c r="O18" i="108"/>
  <c r="P15" i="108"/>
  <c r="O27" i="108"/>
  <c r="N41" i="108"/>
  <c r="O34" i="108"/>
  <c r="P27" i="108" l="1"/>
  <c r="Q15" i="108"/>
  <c r="P18" i="108"/>
  <c r="Q17" i="108"/>
  <c r="P28" i="108"/>
  <c r="O41" i="108"/>
  <c r="P34" i="108"/>
  <c r="R17" i="108" l="1"/>
  <c r="Q28" i="108"/>
  <c r="P41" i="108"/>
  <c r="Q34" i="108"/>
  <c r="Q18" i="108"/>
  <c r="Q27" i="108"/>
  <c r="R15" i="108"/>
  <c r="R34" i="108" l="1"/>
  <c r="Q41" i="108"/>
  <c r="R18" i="108"/>
  <c r="R27" i="108"/>
  <c r="R28" i="108"/>
  <c r="R41" i="108" l="1"/>
  <c r="AS6" i="102" l="1"/>
  <c r="I6" i="102" s="1"/>
  <c r="AN6" i="102" s="1"/>
  <c r="AS14" i="102"/>
  <c r="I14" i="102" s="1"/>
  <c r="AN14" i="102" s="1"/>
  <c r="AS22" i="102"/>
  <c r="I22" i="102" s="1"/>
  <c r="AN22" i="102" s="1"/>
  <c r="AS7" i="102"/>
  <c r="I7" i="102" s="1"/>
  <c r="AN7" i="102" s="1"/>
  <c r="AS15" i="102"/>
  <c r="I15" i="102" s="1"/>
  <c r="AN15" i="102" s="1"/>
  <c r="AS23" i="102"/>
  <c r="I23" i="102" s="1"/>
  <c r="AN23" i="102" s="1"/>
  <c r="AS8" i="102"/>
  <c r="I8" i="102" s="1"/>
  <c r="AN8" i="102" s="1"/>
  <c r="AS16" i="102"/>
  <c r="I16" i="102" s="1"/>
  <c r="AN16" i="102" s="1"/>
  <c r="AS24" i="102"/>
  <c r="I24" i="102" s="1"/>
  <c r="AN24" i="102" s="1"/>
  <c r="AS9" i="102"/>
  <c r="I9" i="102" s="1"/>
  <c r="AN9" i="102" s="1"/>
  <c r="AS17" i="102"/>
  <c r="I17" i="102" s="1"/>
  <c r="AN17" i="102" s="1"/>
  <c r="AS10" i="102"/>
  <c r="I10" i="102" s="1"/>
  <c r="AN10" i="102" s="1"/>
  <c r="AS18" i="102"/>
  <c r="I18" i="102" s="1"/>
  <c r="AN18" i="102" s="1"/>
  <c r="AS20" i="102"/>
  <c r="I20" i="102" s="1"/>
  <c r="AN20" i="102" s="1"/>
  <c r="AS11" i="102"/>
  <c r="I11" i="102" s="1"/>
  <c r="AN11" i="102" s="1"/>
  <c r="AS19" i="102"/>
  <c r="I19" i="102" s="1"/>
  <c r="AN19" i="102" s="1"/>
  <c r="AS12" i="102"/>
  <c r="I12" i="102" s="1"/>
  <c r="AN12" i="102" s="1"/>
  <c r="AS13" i="102"/>
  <c r="I13" i="102" s="1"/>
  <c r="AN13" i="102" s="1"/>
  <c r="AS21" i="102"/>
  <c r="I21" i="102" s="1"/>
  <c r="AN21" i="102" s="1"/>
  <c r="AS5" i="102"/>
  <c r="I5" i="102" s="1"/>
  <c r="AR24" i="102"/>
  <c r="AQ24" i="102"/>
  <c r="AR23" i="102"/>
  <c r="AQ23" i="102"/>
  <c r="AR22" i="102"/>
  <c r="AQ22" i="102"/>
  <c r="AR21" i="102"/>
  <c r="AQ21" i="102"/>
  <c r="AR20" i="102"/>
  <c r="AQ20" i="102"/>
  <c r="AR19" i="102"/>
  <c r="AQ19" i="102"/>
  <c r="AR18" i="102"/>
  <c r="AQ18" i="102"/>
  <c r="AR17" i="102"/>
  <c r="AQ17" i="102"/>
  <c r="AR16" i="102"/>
  <c r="AQ16" i="102"/>
  <c r="AR15" i="102"/>
  <c r="AQ15" i="102"/>
  <c r="AR14" i="102"/>
  <c r="AQ14" i="102"/>
  <c r="AR13" i="102"/>
  <c r="AQ13" i="102"/>
  <c r="AR12" i="102"/>
  <c r="AQ12" i="102"/>
  <c r="AR11" i="102"/>
  <c r="AQ11" i="102"/>
  <c r="AR10" i="102"/>
  <c r="AQ10" i="102"/>
  <c r="AR9" i="102"/>
  <c r="AQ9" i="102"/>
  <c r="AR8" i="102"/>
  <c r="AQ8" i="102"/>
  <c r="AR7" i="102"/>
  <c r="AQ7" i="102"/>
  <c r="AR6" i="102"/>
  <c r="AQ6" i="102"/>
  <c r="AR5" i="102"/>
  <c r="AQ5" i="102"/>
  <c r="I1035" i="106"/>
  <c r="H1035" i="106"/>
  <c r="G1035" i="106"/>
  <c r="F1035" i="106"/>
  <c r="E1035" i="106"/>
  <c r="D1035" i="106"/>
  <c r="C1035" i="106"/>
  <c r="B1035" i="106"/>
  <c r="I1017" i="106"/>
  <c r="H1017" i="106"/>
  <c r="G1017" i="106"/>
  <c r="F1017" i="106"/>
  <c r="E1017" i="106"/>
  <c r="D1017" i="106"/>
  <c r="C1017" i="106"/>
  <c r="B1017" i="106"/>
  <c r="I999" i="106"/>
  <c r="H999" i="106"/>
  <c r="G999" i="106"/>
  <c r="F999" i="106"/>
  <c r="E999" i="106"/>
  <c r="D999" i="106"/>
  <c r="C999" i="106"/>
  <c r="B999" i="106"/>
  <c r="I981" i="106"/>
  <c r="H981" i="106"/>
  <c r="G981" i="106"/>
  <c r="F981" i="106"/>
  <c r="E981" i="106"/>
  <c r="D981" i="106"/>
  <c r="C981" i="106"/>
  <c r="B981" i="106"/>
  <c r="I963" i="106"/>
  <c r="H963" i="106"/>
  <c r="G963" i="106"/>
  <c r="F963" i="106"/>
  <c r="E963" i="106"/>
  <c r="D963" i="106"/>
  <c r="C963" i="106"/>
  <c r="B963" i="106"/>
  <c r="I945" i="106"/>
  <c r="H945" i="106"/>
  <c r="G945" i="106"/>
  <c r="F945" i="106"/>
  <c r="E945" i="106"/>
  <c r="D945" i="106"/>
  <c r="C945" i="106"/>
  <c r="C942" i="106" s="1"/>
  <c r="B945" i="106"/>
  <c r="I927" i="106"/>
  <c r="H927" i="106"/>
  <c r="G927" i="106"/>
  <c r="F927" i="106"/>
  <c r="E927" i="106"/>
  <c r="D927" i="106"/>
  <c r="C927" i="106"/>
  <c r="C926" i="106" s="1"/>
  <c r="B927" i="106"/>
  <c r="I909" i="106"/>
  <c r="H909" i="106"/>
  <c r="G909" i="106"/>
  <c r="F909" i="106"/>
  <c r="E909" i="106"/>
  <c r="D909" i="106"/>
  <c r="C909" i="106"/>
  <c r="B909" i="106"/>
  <c r="I891" i="106"/>
  <c r="H891" i="106"/>
  <c r="G891" i="106"/>
  <c r="F891" i="106"/>
  <c r="E891" i="106"/>
  <c r="D891" i="106"/>
  <c r="C891" i="106"/>
  <c r="B891" i="106"/>
  <c r="I873" i="106"/>
  <c r="H873" i="106"/>
  <c r="G873" i="106"/>
  <c r="F873" i="106"/>
  <c r="E873" i="106"/>
  <c r="D873" i="106"/>
  <c r="C873" i="106"/>
  <c r="C878" i="106" s="1"/>
  <c r="B873" i="106"/>
  <c r="I855" i="106"/>
  <c r="H855" i="106"/>
  <c r="G855" i="106"/>
  <c r="F855" i="106"/>
  <c r="E855" i="106"/>
  <c r="D855" i="106"/>
  <c r="C855" i="106"/>
  <c r="C851" i="106" s="1"/>
  <c r="B855" i="106"/>
  <c r="I837" i="106"/>
  <c r="H837" i="106"/>
  <c r="G837" i="106"/>
  <c r="F837" i="106"/>
  <c r="E837" i="106"/>
  <c r="D837" i="106"/>
  <c r="C837" i="106"/>
  <c r="B837" i="106"/>
  <c r="I819" i="106"/>
  <c r="H819" i="106"/>
  <c r="G819" i="106"/>
  <c r="F819" i="106"/>
  <c r="E819" i="106"/>
  <c r="D819" i="106"/>
  <c r="C819" i="106"/>
  <c r="B819" i="106"/>
  <c r="I801" i="106"/>
  <c r="H801" i="106"/>
  <c r="G801" i="106"/>
  <c r="F801" i="106"/>
  <c r="E801" i="106"/>
  <c r="D801" i="106"/>
  <c r="C801" i="106"/>
  <c r="C800" i="106" s="1"/>
  <c r="B801" i="106"/>
  <c r="I783" i="106"/>
  <c r="H783" i="106"/>
  <c r="G783" i="106"/>
  <c r="F783" i="106"/>
  <c r="E783" i="106"/>
  <c r="D783" i="106"/>
  <c r="C783" i="106"/>
  <c r="C782" i="106" s="1"/>
  <c r="K782" i="106" s="1"/>
  <c r="B783" i="106"/>
  <c r="I765" i="106"/>
  <c r="H765" i="106"/>
  <c r="G765" i="106"/>
  <c r="F765" i="106"/>
  <c r="E765" i="106"/>
  <c r="D765" i="106"/>
  <c r="C765" i="106"/>
  <c r="C774" i="106" s="1"/>
  <c r="B765" i="106"/>
  <c r="I747" i="106"/>
  <c r="H747" i="106"/>
  <c r="G747" i="106"/>
  <c r="F747" i="106"/>
  <c r="E747" i="106"/>
  <c r="D747" i="106"/>
  <c r="C747" i="106"/>
  <c r="C756" i="106" s="1"/>
  <c r="K756" i="106" s="1"/>
  <c r="B747" i="106"/>
  <c r="I729" i="106"/>
  <c r="H729" i="106"/>
  <c r="G729" i="106"/>
  <c r="F729" i="106"/>
  <c r="E729" i="106"/>
  <c r="D729" i="106"/>
  <c r="C729" i="106"/>
  <c r="B729" i="106"/>
  <c r="I711" i="106"/>
  <c r="H711" i="106"/>
  <c r="G711" i="106"/>
  <c r="F711" i="106"/>
  <c r="E711" i="106"/>
  <c r="D711" i="106"/>
  <c r="C711" i="106"/>
  <c r="C708" i="106" s="1"/>
  <c r="B711" i="106"/>
  <c r="I693" i="106"/>
  <c r="H693" i="106"/>
  <c r="G693" i="106"/>
  <c r="F693" i="106"/>
  <c r="E693" i="106"/>
  <c r="D693" i="106"/>
  <c r="C693" i="106"/>
  <c r="C690" i="106" s="1"/>
  <c r="B693" i="106"/>
  <c r="I675" i="106"/>
  <c r="H675" i="106"/>
  <c r="G675" i="106"/>
  <c r="F675" i="106"/>
  <c r="E675" i="106"/>
  <c r="D675" i="106"/>
  <c r="C675" i="106"/>
  <c r="C674" i="106" s="1"/>
  <c r="B675" i="106"/>
  <c r="I657" i="106"/>
  <c r="H657" i="106"/>
  <c r="G657" i="106"/>
  <c r="F657" i="106"/>
  <c r="E657" i="106"/>
  <c r="D657" i="106"/>
  <c r="C657" i="106"/>
  <c r="C650" i="106" s="1"/>
  <c r="B657" i="106"/>
  <c r="I639" i="106"/>
  <c r="H639" i="106"/>
  <c r="G639" i="106"/>
  <c r="F639" i="106"/>
  <c r="E639" i="106"/>
  <c r="D639" i="106"/>
  <c r="C639" i="106"/>
  <c r="C638" i="106" s="1"/>
  <c r="B639" i="106"/>
  <c r="I621" i="106"/>
  <c r="H621" i="106"/>
  <c r="G621" i="106"/>
  <c r="F621" i="106"/>
  <c r="E621" i="106"/>
  <c r="D621" i="106"/>
  <c r="C621" i="106"/>
  <c r="C618" i="106" s="1"/>
  <c r="B621" i="106"/>
  <c r="I603" i="106"/>
  <c r="H603" i="106"/>
  <c r="G603" i="106"/>
  <c r="F603" i="106"/>
  <c r="E603" i="106"/>
  <c r="D603" i="106"/>
  <c r="C603" i="106"/>
  <c r="B603" i="106"/>
  <c r="I585" i="106"/>
  <c r="H585" i="106"/>
  <c r="G585" i="106"/>
  <c r="F585" i="106"/>
  <c r="E585" i="106"/>
  <c r="D585" i="106"/>
  <c r="C585" i="106"/>
  <c r="C588" i="106" s="1"/>
  <c r="B585" i="106"/>
  <c r="I567" i="106"/>
  <c r="H567" i="106"/>
  <c r="G567" i="106"/>
  <c r="F567" i="106"/>
  <c r="E567" i="106"/>
  <c r="D567" i="106"/>
  <c r="C567" i="106"/>
  <c r="B567" i="106"/>
  <c r="I549" i="106"/>
  <c r="H549" i="106"/>
  <c r="G549" i="106"/>
  <c r="F549" i="106"/>
  <c r="E549" i="106"/>
  <c r="D549" i="106"/>
  <c r="C549" i="106"/>
  <c r="C559" i="106" s="1"/>
  <c r="B549" i="106"/>
  <c r="I531" i="106"/>
  <c r="H531" i="106"/>
  <c r="G531" i="106"/>
  <c r="F531" i="106"/>
  <c r="E531" i="106"/>
  <c r="D531" i="106"/>
  <c r="C531" i="106"/>
  <c r="B531" i="106"/>
  <c r="I513" i="106"/>
  <c r="H513" i="106"/>
  <c r="G513" i="106"/>
  <c r="F513" i="106"/>
  <c r="E513" i="106"/>
  <c r="D513" i="106"/>
  <c r="C513" i="106"/>
  <c r="B513" i="106"/>
  <c r="I495" i="106"/>
  <c r="H495" i="106"/>
  <c r="G495" i="106"/>
  <c r="F495" i="106"/>
  <c r="E495" i="106"/>
  <c r="D495" i="106"/>
  <c r="C495" i="106"/>
  <c r="C491" i="106" s="1"/>
  <c r="B495" i="106"/>
  <c r="I477" i="106"/>
  <c r="H477" i="106"/>
  <c r="G477" i="106"/>
  <c r="F477" i="106"/>
  <c r="E477" i="106"/>
  <c r="D477" i="106"/>
  <c r="C477" i="106"/>
  <c r="C486" i="106" s="1"/>
  <c r="K486" i="106" s="1"/>
  <c r="B477" i="106"/>
  <c r="I459" i="106"/>
  <c r="H459" i="106"/>
  <c r="G459" i="106"/>
  <c r="F459" i="106"/>
  <c r="E459" i="106"/>
  <c r="D459" i="106"/>
  <c r="C459" i="106"/>
  <c r="C455" i="106" s="1"/>
  <c r="B459" i="106"/>
  <c r="I441" i="106"/>
  <c r="H441" i="106"/>
  <c r="G441" i="106"/>
  <c r="F441" i="106"/>
  <c r="E441" i="106"/>
  <c r="D441" i="106"/>
  <c r="C441" i="106"/>
  <c r="C442" i="106" s="1"/>
  <c r="B441" i="106"/>
  <c r="I423" i="106"/>
  <c r="H423" i="106"/>
  <c r="G423" i="106"/>
  <c r="F423" i="106"/>
  <c r="E423" i="106"/>
  <c r="D423" i="106"/>
  <c r="C423" i="106"/>
  <c r="C421" i="106" s="1"/>
  <c r="B423" i="106"/>
  <c r="I405" i="106"/>
  <c r="H405" i="106"/>
  <c r="G405" i="106"/>
  <c r="F405" i="106"/>
  <c r="E405" i="106"/>
  <c r="D405" i="106"/>
  <c r="C405" i="106"/>
  <c r="C403" i="106" s="1"/>
  <c r="K403" i="106" s="1"/>
  <c r="B405" i="106"/>
  <c r="I387" i="106"/>
  <c r="H387" i="106"/>
  <c r="G387" i="106"/>
  <c r="F387" i="106"/>
  <c r="E387" i="106"/>
  <c r="D387" i="106"/>
  <c r="C387" i="106"/>
  <c r="C395" i="106" s="1"/>
  <c r="B387" i="106"/>
  <c r="I369" i="106"/>
  <c r="H369" i="106"/>
  <c r="G369" i="106"/>
  <c r="F369" i="106"/>
  <c r="E369" i="106"/>
  <c r="D369" i="106"/>
  <c r="C369" i="106"/>
  <c r="C375" i="106" s="1"/>
  <c r="B369" i="106"/>
  <c r="I351" i="106"/>
  <c r="H351" i="106"/>
  <c r="G351" i="106"/>
  <c r="F351" i="106"/>
  <c r="E351" i="106"/>
  <c r="D351" i="106"/>
  <c r="C351" i="106"/>
  <c r="C347" i="106" s="1"/>
  <c r="B351" i="106"/>
  <c r="I333" i="106"/>
  <c r="H333" i="106"/>
  <c r="G333" i="106"/>
  <c r="F333" i="106"/>
  <c r="E333" i="106"/>
  <c r="D333" i="106"/>
  <c r="C333" i="106"/>
  <c r="C340" i="106" s="1"/>
  <c r="B333" i="106"/>
  <c r="I315" i="106"/>
  <c r="H315" i="106"/>
  <c r="G315" i="106"/>
  <c r="F315" i="106"/>
  <c r="E315" i="106"/>
  <c r="D315" i="106"/>
  <c r="C315" i="106"/>
  <c r="C323" i="106" s="1"/>
  <c r="B315" i="106"/>
  <c r="I297" i="106"/>
  <c r="H297" i="106"/>
  <c r="G297" i="106"/>
  <c r="F297" i="106"/>
  <c r="E297" i="106"/>
  <c r="D297" i="106"/>
  <c r="C297" i="106"/>
  <c r="C293" i="106" s="1"/>
  <c r="B297" i="106"/>
  <c r="I279" i="106"/>
  <c r="H279" i="106"/>
  <c r="G279" i="106"/>
  <c r="F279" i="106"/>
  <c r="E279" i="106"/>
  <c r="D279" i="106"/>
  <c r="C279" i="106"/>
  <c r="C285" i="106" s="1"/>
  <c r="K285" i="106" s="1"/>
  <c r="B279" i="106"/>
  <c r="I261" i="106"/>
  <c r="H261" i="106"/>
  <c r="G261" i="106"/>
  <c r="F261" i="106"/>
  <c r="E261" i="106"/>
  <c r="D261" i="106"/>
  <c r="C261" i="106"/>
  <c r="C265" i="106" s="1"/>
  <c r="B261" i="106"/>
  <c r="I243" i="106"/>
  <c r="H243" i="106"/>
  <c r="G243" i="106"/>
  <c r="F243" i="106"/>
  <c r="E243" i="106"/>
  <c r="D243" i="106"/>
  <c r="C243" i="106"/>
  <c r="C248" i="106" s="1"/>
  <c r="B243" i="106"/>
  <c r="I225" i="106"/>
  <c r="H225" i="106"/>
  <c r="G225" i="106"/>
  <c r="F225" i="106"/>
  <c r="E225" i="106"/>
  <c r="D225" i="106"/>
  <c r="C225" i="106"/>
  <c r="C220" i="106" s="1"/>
  <c r="B225" i="106"/>
  <c r="I207" i="106"/>
  <c r="H207" i="106"/>
  <c r="G207" i="106"/>
  <c r="F207" i="106"/>
  <c r="E207" i="106"/>
  <c r="D207" i="106"/>
  <c r="C207" i="106"/>
  <c r="C209" i="106" s="1"/>
  <c r="B207" i="106"/>
  <c r="I189" i="106"/>
  <c r="H189" i="106"/>
  <c r="G189" i="106"/>
  <c r="F189" i="106"/>
  <c r="E189" i="106"/>
  <c r="D189" i="106"/>
  <c r="C189" i="106"/>
  <c r="C187" i="106" s="1"/>
  <c r="B189" i="106"/>
  <c r="I171" i="106"/>
  <c r="H171" i="106"/>
  <c r="G171" i="106"/>
  <c r="F171" i="106"/>
  <c r="E171" i="106"/>
  <c r="D171" i="106"/>
  <c r="C171" i="106"/>
  <c r="K171" i="106" s="1"/>
  <c r="K179" i="106" s="1"/>
  <c r="B171" i="106"/>
  <c r="I153" i="106"/>
  <c r="H153" i="106"/>
  <c r="G153" i="106"/>
  <c r="F153" i="106"/>
  <c r="E153" i="106"/>
  <c r="D153" i="106"/>
  <c r="C153" i="106"/>
  <c r="C163" i="106" s="1"/>
  <c r="K163" i="106" s="1"/>
  <c r="B153" i="106"/>
  <c r="I135" i="106"/>
  <c r="H135" i="106"/>
  <c r="G135" i="106"/>
  <c r="F135" i="106"/>
  <c r="E135" i="106"/>
  <c r="D135" i="106"/>
  <c r="C135" i="106"/>
  <c r="C141" i="106" s="1"/>
  <c r="K141" i="106" s="1"/>
  <c r="B135" i="106"/>
  <c r="I117" i="106"/>
  <c r="H117" i="106"/>
  <c r="G117" i="106"/>
  <c r="F117" i="106"/>
  <c r="E117" i="106"/>
  <c r="D117" i="106"/>
  <c r="C117" i="106"/>
  <c r="C127" i="106" s="1"/>
  <c r="B117" i="106"/>
  <c r="I99" i="106"/>
  <c r="H99" i="106"/>
  <c r="G99" i="106"/>
  <c r="F99" i="106"/>
  <c r="E99" i="106"/>
  <c r="D99" i="106"/>
  <c r="C99" i="106"/>
  <c r="C101" i="106" s="1"/>
  <c r="B99" i="106"/>
  <c r="I81" i="106"/>
  <c r="H81" i="106"/>
  <c r="G81" i="106"/>
  <c r="F81" i="106"/>
  <c r="E81" i="106"/>
  <c r="D81" i="106"/>
  <c r="C81" i="106"/>
  <c r="C77" i="106" s="1"/>
  <c r="B81" i="106"/>
  <c r="I63" i="106"/>
  <c r="H63" i="106"/>
  <c r="G63" i="106"/>
  <c r="F63" i="106"/>
  <c r="E63" i="106"/>
  <c r="D63" i="106"/>
  <c r="C63" i="106"/>
  <c r="C73" i="106" s="1"/>
  <c r="B63" i="106"/>
  <c r="I45" i="106"/>
  <c r="H45" i="106"/>
  <c r="G45" i="106"/>
  <c r="F45" i="106"/>
  <c r="E45" i="106"/>
  <c r="D45" i="106"/>
  <c r="C45" i="106"/>
  <c r="C39" i="106" s="1"/>
  <c r="B45" i="106"/>
  <c r="I27" i="106"/>
  <c r="H27" i="106"/>
  <c r="G27" i="106"/>
  <c r="F27" i="106"/>
  <c r="E27" i="106"/>
  <c r="D27" i="106"/>
  <c r="C27" i="106"/>
  <c r="C36" i="106" s="1"/>
  <c r="B27" i="106"/>
  <c r="I9" i="106"/>
  <c r="H9" i="106"/>
  <c r="G9" i="106"/>
  <c r="F9" i="106"/>
  <c r="E9" i="106"/>
  <c r="D9" i="106"/>
  <c r="C9" i="106"/>
  <c r="C19" i="106" s="1"/>
  <c r="B9" i="106"/>
  <c r="I1045" i="106"/>
  <c r="G1044" i="106"/>
  <c r="N1044" i="106" s="1"/>
  <c r="I1041" i="106"/>
  <c r="G1040" i="106"/>
  <c r="N1040" i="106" s="1"/>
  <c r="I1037" i="106"/>
  <c r="G1036" i="106"/>
  <c r="N1036" i="106" s="1"/>
  <c r="I1042" i="106"/>
  <c r="H1042" i="106"/>
  <c r="G1045" i="106"/>
  <c r="N1045" i="106" s="1"/>
  <c r="F1045" i="106"/>
  <c r="D1044" i="106"/>
  <c r="L1044" i="106" s="1"/>
  <c r="I1034" i="106"/>
  <c r="H1034" i="106"/>
  <c r="O1034" i="106" s="1"/>
  <c r="G1034" i="106"/>
  <c r="N1034" i="106" s="1"/>
  <c r="F1034" i="106"/>
  <c r="D1034" i="106"/>
  <c r="L1034" i="106" s="1"/>
  <c r="B1034" i="106"/>
  <c r="I1033" i="106"/>
  <c r="H1033" i="106"/>
  <c r="G1033" i="106"/>
  <c r="N1033" i="106" s="1"/>
  <c r="F1033" i="106"/>
  <c r="D1033" i="106"/>
  <c r="L1033" i="106" s="1"/>
  <c r="B1033" i="106"/>
  <c r="O1032" i="106"/>
  <c r="I1032" i="106"/>
  <c r="H1032" i="106"/>
  <c r="G1032" i="106"/>
  <c r="N1032" i="106" s="1"/>
  <c r="F1032" i="106"/>
  <c r="D1032" i="106"/>
  <c r="L1032" i="106" s="1"/>
  <c r="B1032" i="106"/>
  <c r="I1031" i="106"/>
  <c r="H1031" i="106"/>
  <c r="G1031" i="106"/>
  <c r="N1031" i="106" s="1"/>
  <c r="F1031" i="106"/>
  <c r="E1031" i="106"/>
  <c r="D1031" i="106"/>
  <c r="L1031" i="106" s="1"/>
  <c r="B1031" i="106"/>
  <c r="I1030" i="106"/>
  <c r="H1030" i="106"/>
  <c r="G1030" i="106"/>
  <c r="N1030" i="106" s="1"/>
  <c r="F1030" i="106"/>
  <c r="D1030" i="106"/>
  <c r="L1030" i="106" s="1"/>
  <c r="B1030" i="106"/>
  <c r="J1030" i="106" s="1"/>
  <c r="I1029" i="106"/>
  <c r="H1029" i="106"/>
  <c r="G1029" i="106"/>
  <c r="N1029" i="106" s="1"/>
  <c r="F1029" i="106"/>
  <c r="D1029" i="106"/>
  <c r="L1029" i="106" s="1"/>
  <c r="B1029" i="106"/>
  <c r="I1028" i="106"/>
  <c r="H1028" i="106"/>
  <c r="O1028" i="106" s="1"/>
  <c r="G1028" i="106"/>
  <c r="N1028" i="106" s="1"/>
  <c r="F1028" i="106"/>
  <c r="D1028" i="106"/>
  <c r="L1028" i="106" s="1"/>
  <c r="B1028" i="106"/>
  <c r="E1027" i="106"/>
  <c r="I1025" i="106"/>
  <c r="G1024" i="106"/>
  <c r="N1024" i="106" s="1"/>
  <c r="E1023" i="106"/>
  <c r="I1021" i="106"/>
  <c r="G1020" i="106"/>
  <c r="N1020" i="106" s="1"/>
  <c r="E1019" i="106"/>
  <c r="O1017" i="106"/>
  <c r="O1025" i="106" s="1"/>
  <c r="G1025" i="106"/>
  <c r="F1025" i="106"/>
  <c r="E1024" i="106"/>
  <c r="D1024" i="106"/>
  <c r="L1024" i="106" s="1"/>
  <c r="B1027" i="106"/>
  <c r="H1016" i="106"/>
  <c r="G1016" i="106"/>
  <c r="N1016" i="106" s="1"/>
  <c r="F1016" i="106"/>
  <c r="E1016" i="106"/>
  <c r="D1016" i="106"/>
  <c r="L1016" i="106" s="1"/>
  <c r="B1016" i="106"/>
  <c r="H1015" i="106"/>
  <c r="G1015" i="106"/>
  <c r="N1015" i="106" s="1"/>
  <c r="F1015" i="106"/>
  <c r="E1015" i="106"/>
  <c r="D1015" i="106"/>
  <c r="L1015" i="106" s="1"/>
  <c r="B1015" i="106"/>
  <c r="H1014" i="106"/>
  <c r="G1014" i="106"/>
  <c r="N1014" i="106" s="1"/>
  <c r="F1014" i="106"/>
  <c r="E1014" i="106"/>
  <c r="M1014" i="106" s="1"/>
  <c r="D1014" i="106"/>
  <c r="L1014" i="106" s="1"/>
  <c r="B1014" i="106"/>
  <c r="J1014" i="106" s="1"/>
  <c r="I1013" i="106"/>
  <c r="H1013" i="106"/>
  <c r="O1013" i="106" s="1"/>
  <c r="G1013" i="106"/>
  <c r="N1013" i="106" s="1"/>
  <c r="F1013" i="106"/>
  <c r="E1013" i="106"/>
  <c r="M1013" i="106" s="1"/>
  <c r="D1013" i="106"/>
  <c r="L1013" i="106" s="1"/>
  <c r="B1013" i="106"/>
  <c r="H1012" i="106"/>
  <c r="G1012" i="106"/>
  <c r="N1012" i="106" s="1"/>
  <c r="F1012" i="106"/>
  <c r="E1012" i="106"/>
  <c r="M1012" i="106" s="1"/>
  <c r="D1012" i="106"/>
  <c r="L1012" i="106" s="1"/>
  <c r="B1012" i="106"/>
  <c r="H1011" i="106"/>
  <c r="G1011" i="106"/>
  <c r="N1011" i="106" s="1"/>
  <c r="F1011" i="106"/>
  <c r="E1011" i="106"/>
  <c r="D1011" i="106"/>
  <c r="L1011" i="106" s="1"/>
  <c r="B1011" i="106"/>
  <c r="H1010" i="106"/>
  <c r="G1010" i="106"/>
  <c r="N1010" i="106" s="1"/>
  <c r="F1010" i="106"/>
  <c r="E1010" i="106"/>
  <c r="D1010" i="106"/>
  <c r="L1010" i="106" s="1"/>
  <c r="B1010" i="106"/>
  <c r="J1010" i="106" s="1"/>
  <c r="I1009" i="106"/>
  <c r="D1009" i="106"/>
  <c r="L1009" i="106" s="1"/>
  <c r="G1008" i="106"/>
  <c r="N1008" i="106" s="1"/>
  <c r="B1008" i="106"/>
  <c r="J1008" i="106" s="1"/>
  <c r="E1007" i="106"/>
  <c r="F1006" i="106"/>
  <c r="I1005" i="106"/>
  <c r="D1005" i="106"/>
  <c r="L1005" i="106" s="1"/>
  <c r="J1004" i="106"/>
  <c r="G1004" i="106"/>
  <c r="N1004" i="106" s="1"/>
  <c r="B1004" i="106"/>
  <c r="F1002" i="106"/>
  <c r="C1002" i="106"/>
  <c r="L1001" i="106"/>
  <c r="I1001" i="106"/>
  <c r="D1001" i="106"/>
  <c r="G1000" i="106"/>
  <c r="N1000" i="106" s="1"/>
  <c r="B1000" i="106"/>
  <c r="I1006" i="106"/>
  <c r="H1003" i="106"/>
  <c r="G1009" i="106"/>
  <c r="N1009" i="106" s="1"/>
  <c r="F1009" i="106"/>
  <c r="M999" i="106"/>
  <c r="M1007" i="106" s="1"/>
  <c r="D1008" i="106"/>
  <c r="L1008" i="106" s="1"/>
  <c r="I998" i="106"/>
  <c r="G998" i="106"/>
  <c r="N998" i="106" s="1"/>
  <c r="F998" i="106"/>
  <c r="D998" i="106"/>
  <c r="L998" i="106" s="1"/>
  <c r="B998" i="106"/>
  <c r="J998" i="106" s="1"/>
  <c r="I997" i="106"/>
  <c r="G997" i="106"/>
  <c r="N997" i="106" s="1"/>
  <c r="F997" i="106"/>
  <c r="D997" i="106"/>
  <c r="L997" i="106" s="1"/>
  <c r="B997" i="106"/>
  <c r="I996" i="106"/>
  <c r="G996" i="106"/>
  <c r="N996" i="106" s="1"/>
  <c r="F996" i="106"/>
  <c r="D996" i="106"/>
  <c r="L996" i="106" s="1"/>
  <c r="B996" i="106"/>
  <c r="I995" i="106"/>
  <c r="H995" i="106"/>
  <c r="O995" i="106" s="1"/>
  <c r="G995" i="106"/>
  <c r="N995" i="106" s="1"/>
  <c r="F995" i="106"/>
  <c r="E995" i="106"/>
  <c r="M995" i="106" s="1"/>
  <c r="D995" i="106"/>
  <c r="L995" i="106" s="1"/>
  <c r="B995" i="106"/>
  <c r="I994" i="106"/>
  <c r="G994" i="106"/>
  <c r="N994" i="106" s="1"/>
  <c r="F994" i="106"/>
  <c r="D994" i="106"/>
  <c r="L994" i="106" s="1"/>
  <c r="B994" i="106"/>
  <c r="J994" i="106" s="1"/>
  <c r="L993" i="106"/>
  <c r="I993" i="106"/>
  <c r="G993" i="106"/>
  <c r="N993" i="106" s="1"/>
  <c r="F993" i="106"/>
  <c r="D993" i="106"/>
  <c r="B993" i="106"/>
  <c r="I992" i="106"/>
  <c r="G992" i="106"/>
  <c r="N992" i="106" s="1"/>
  <c r="F992" i="106"/>
  <c r="D992" i="106"/>
  <c r="L992" i="106" s="1"/>
  <c r="B992" i="106"/>
  <c r="E991" i="106"/>
  <c r="H987" i="106"/>
  <c r="E987" i="106"/>
  <c r="I986" i="106"/>
  <c r="E986" i="106"/>
  <c r="D986" i="106"/>
  <c r="L986" i="106" s="1"/>
  <c r="I984" i="106"/>
  <c r="H984" i="106"/>
  <c r="O984" i="106" s="1"/>
  <c r="E984" i="106"/>
  <c r="N983" i="106"/>
  <c r="G983" i="106"/>
  <c r="F983" i="106"/>
  <c r="E983" i="106"/>
  <c r="M983" i="106" s="1"/>
  <c r="I982" i="106"/>
  <c r="E982" i="106"/>
  <c r="D982" i="106"/>
  <c r="L982" i="106" s="1"/>
  <c r="O981" i="106"/>
  <c r="O989" i="106" s="1"/>
  <c r="N981" i="106"/>
  <c r="N989" i="106" s="1"/>
  <c r="F990" i="106"/>
  <c r="B985" i="106"/>
  <c r="J985" i="106" s="1"/>
  <c r="I980" i="106"/>
  <c r="H980" i="106"/>
  <c r="O980" i="106" s="1"/>
  <c r="F980" i="106"/>
  <c r="E980" i="106"/>
  <c r="M980" i="106" s="1"/>
  <c r="D980" i="106"/>
  <c r="L980" i="106" s="1"/>
  <c r="H979" i="106"/>
  <c r="G979" i="106"/>
  <c r="N979" i="106" s="1"/>
  <c r="F979" i="106"/>
  <c r="E979" i="106"/>
  <c r="D979" i="106"/>
  <c r="L979" i="106" s="1"/>
  <c r="I978" i="106"/>
  <c r="H978" i="106"/>
  <c r="O978" i="106" s="1"/>
  <c r="F978" i="106"/>
  <c r="E978" i="106"/>
  <c r="M978" i="106" s="1"/>
  <c r="D978" i="106"/>
  <c r="L978" i="106" s="1"/>
  <c r="I977" i="106"/>
  <c r="H977" i="106"/>
  <c r="O977" i="106" s="1"/>
  <c r="G977" i="106"/>
  <c r="N977" i="106" s="1"/>
  <c r="F977" i="106"/>
  <c r="E977" i="106"/>
  <c r="M977" i="106" s="1"/>
  <c r="D977" i="106"/>
  <c r="L977" i="106" s="1"/>
  <c r="B977" i="106"/>
  <c r="I976" i="106"/>
  <c r="H976" i="106"/>
  <c r="F976" i="106"/>
  <c r="E976" i="106"/>
  <c r="M976" i="106" s="1"/>
  <c r="D976" i="106"/>
  <c r="L976" i="106" s="1"/>
  <c r="O975" i="106"/>
  <c r="I975" i="106"/>
  <c r="H975" i="106"/>
  <c r="G975" i="106"/>
  <c r="N975" i="106" s="1"/>
  <c r="F975" i="106"/>
  <c r="E975" i="106"/>
  <c r="M975" i="106" s="1"/>
  <c r="D975" i="106"/>
  <c r="L975" i="106" s="1"/>
  <c r="M974" i="106"/>
  <c r="I974" i="106"/>
  <c r="H974" i="106"/>
  <c r="F974" i="106"/>
  <c r="E974" i="106"/>
  <c r="D974" i="106"/>
  <c r="L974" i="106" s="1"/>
  <c r="C973" i="106"/>
  <c r="B973" i="106"/>
  <c r="I972" i="106"/>
  <c r="H972" i="106"/>
  <c r="E972" i="106"/>
  <c r="I970" i="106"/>
  <c r="E970" i="106"/>
  <c r="D970" i="106"/>
  <c r="L970" i="106" s="1"/>
  <c r="B969" i="106"/>
  <c r="I968" i="106"/>
  <c r="H968" i="106"/>
  <c r="E968" i="106"/>
  <c r="I966" i="106"/>
  <c r="E966" i="106"/>
  <c r="D966" i="106"/>
  <c r="L966" i="106" s="1"/>
  <c r="B965" i="106"/>
  <c r="I964" i="106"/>
  <c r="H964" i="106"/>
  <c r="E964" i="106"/>
  <c r="O963" i="106"/>
  <c r="O971" i="106" s="1"/>
  <c r="I971" i="106"/>
  <c r="H973" i="106"/>
  <c r="E973" i="106"/>
  <c r="D971" i="106"/>
  <c r="B970" i="106"/>
  <c r="I962" i="106"/>
  <c r="H962" i="106"/>
  <c r="O962" i="106" s="1"/>
  <c r="E962" i="106"/>
  <c r="D962" i="106"/>
  <c r="L962" i="106" s="1"/>
  <c r="B962" i="106"/>
  <c r="J962" i="106" s="1"/>
  <c r="I961" i="106"/>
  <c r="H961" i="106"/>
  <c r="O961" i="106" s="1"/>
  <c r="E961" i="106"/>
  <c r="D961" i="106"/>
  <c r="L961" i="106" s="1"/>
  <c r="B961" i="106"/>
  <c r="I960" i="106"/>
  <c r="H960" i="106"/>
  <c r="O960" i="106" s="1"/>
  <c r="E960" i="106"/>
  <c r="D960" i="106"/>
  <c r="L960" i="106" s="1"/>
  <c r="B960" i="106"/>
  <c r="O959" i="106"/>
  <c r="I959" i="106"/>
  <c r="H959" i="106"/>
  <c r="E959" i="106"/>
  <c r="D959" i="106"/>
  <c r="L959" i="106" s="1"/>
  <c r="B959" i="106"/>
  <c r="I958" i="106"/>
  <c r="H958" i="106"/>
  <c r="E958" i="106"/>
  <c r="D958" i="106"/>
  <c r="L958" i="106" s="1"/>
  <c r="B958" i="106"/>
  <c r="J958" i="106" s="1"/>
  <c r="J957" i="106"/>
  <c r="I957" i="106"/>
  <c r="H957" i="106"/>
  <c r="E957" i="106"/>
  <c r="D957" i="106"/>
  <c r="L957" i="106" s="1"/>
  <c r="B957" i="106"/>
  <c r="I956" i="106"/>
  <c r="H956" i="106"/>
  <c r="O956" i="106" s="1"/>
  <c r="E956" i="106"/>
  <c r="D956" i="106"/>
  <c r="L956" i="106" s="1"/>
  <c r="B956" i="106"/>
  <c r="E954" i="106"/>
  <c r="D954" i="106"/>
  <c r="L954" i="106" s="1"/>
  <c r="I952" i="106"/>
  <c r="G951" i="106"/>
  <c r="N951" i="106" s="1"/>
  <c r="I950" i="106"/>
  <c r="E950" i="106"/>
  <c r="D950" i="106"/>
  <c r="L950" i="106" s="1"/>
  <c r="I948" i="106"/>
  <c r="E948" i="106"/>
  <c r="B947" i="106"/>
  <c r="J946" i="106"/>
  <c r="I946" i="106"/>
  <c r="E946" i="106"/>
  <c r="D946" i="106"/>
  <c r="L946" i="106" s="1"/>
  <c r="B946" i="106"/>
  <c r="O945" i="106"/>
  <c r="O953" i="106" s="1"/>
  <c r="N945" i="106"/>
  <c r="N953" i="106" s="1"/>
  <c r="I954" i="106"/>
  <c r="H952" i="106"/>
  <c r="O952" i="106" s="1"/>
  <c r="E952" i="106"/>
  <c r="I944" i="106"/>
  <c r="E944" i="106"/>
  <c r="D944" i="106"/>
  <c r="L944" i="106" s="1"/>
  <c r="B944" i="106"/>
  <c r="I943" i="106"/>
  <c r="G943" i="106"/>
  <c r="N943" i="106" s="1"/>
  <c r="E943" i="106"/>
  <c r="D943" i="106"/>
  <c r="L943" i="106" s="1"/>
  <c r="I942" i="106"/>
  <c r="E942" i="106"/>
  <c r="D942" i="106"/>
  <c r="L942" i="106" s="1"/>
  <c r="B942" i="106"/>
  <c r="I941" i="106"/>
  <c r="H941" i="106"/>
  <c r="O941" i="106" s="1"/>
  <c r="E941" i="106"/>
  <c r="D941" i="106"/>
  <c r="L941" i="106" s="1"/>
  <c r="B941" i="106"/>
  <c r="I940" i="106"/>
  <c r="G940" i="106"/>
  <c r="N940" i="106" s="1"/>
  <c r="F940" i="106"/>
  <c r="E940" i="106"/>
  <c r="D940" i="106"/>
  <c r="L940" i="106" s="1"/>
  <c r="B940" i="106"/>
  <c r="L939" i="106"/>
  <c r="I939" i="106"/>
  <c r="G939" i="106"/>
  <c r="N939" i="106" s="1"/>
  <c r="E939" i="106"/>
  <c r="D939" i="106"/>
  <c r="B939" i="106"/>
  <c r="N938" i="106"/>
  <c r="I938" i="106"/>
  <c r="G938" i="106"/>
  <c r="E938" i="106"/>
  <c r="D938" i="106"/>
  <c r="L938" i="106" s="1"/>
  <c r="B938" i="106"/>
  <c r="J938" i="106" s="1"/>
  <c r="I937" i="106"/>
  <c r="H937" i="106"/>
  <c r="I936" i="106"/>
  <c r="F936" i="106"/>
  <c r="B936" i="106"/>
  <c r="E935" i="106"/>
  <c r="D935" i="106"/>
  <c r="F934" i="106"/>
  <c r="E934" i="106"/>
  <c r="B934" i="106"/>
  <c r="I933" i="106"/>
  <c r="H933" i="106"/>
  <c r="I932" i="106"/>
  <c r="F932" i="106"/>
  <c r="B932" i="106"/>
  <c r="E931" i="106"/>
  <c r="D931" i="106"/>
  <c r="L931" i="106" s="1"/>
  <c r="F930" i="106"/>
  <c r="E930" i="106"/>
  <c r="M930" i="106" s="1"/>
  <c r="B930" i="106"/>
  <c r="J930" i="106" s="1"/>
  <c r="I929" i="106"/>
  <c r="H929" i="106"/>
  <c r="B929" i="106"/>
  <c r="J929" i="106" s="1"/>
  <c r="I928" i="106"/>
  <c r="F928" i="106"/>
  <c r="B928" i="106"/>
  <c r="O927" i="106"/>
  <c r="O935" i="106" s="1"/>
  <c r="M927" i="106"/>
  <c r="M935" i="106" s="1"/>
  <c r="L927" i="106"/>
  <c r="L935" i="106" s="1"/>
  <c r="I934" i="106"/>
  <c r="H934" i="106"/>
  <c r="G936" i="106"/>
  <c r="N936" i="106" s="1"/>
  <c r="F937" i="106"/>
  <c r="F926" i="106"/>
  <c r="E926" i="106"/>
  <c r="M926" i="106" s="1"/>
  <c r="B926" i="106"/>
  <c r="I925" i="106"/>
  <c r="H925" i="106"/>
  <c r="B925" i="106"/>
  <c r="J925" i="106" s="1"/>
  <c r="I924" i="106"/>
  <c r="F924" i="106"/>
  <c r="B924" i="106"/>
  <c r="I923" i="106"/>
  <c r="H923" i="106"/>
  <c r="O923" i="106" s="1"/>
  <c r="F923" i="106"/>
  <c r="E923" i="106"/>
  <c r="D923" i="106"/>
  <c r="L923" i="106" s="1"/>
  <c r="B923" i="106"/>
  <c r="I922" i="106"/>
  <c r="F922" i="106"/>
  <c r="E922" i="106"/>
  <c r="M922" i="106" s="1"/>
  <c r="B922" i="106"/>
  <c r="I921" i="106"/>
  <c r="H921" i="106"/>
  <c r="F921" i="106"/>
  <c r="B921" i="106"/>
  <c r="J921" i="106" s="1"/>
  <c r="I920" i="106"/>
  <c r="F920" i="106"/>
  <c r="B920" i="106"/>
  <c r="G919" i="106"/>
  <c r="N919" i="106" s="1"/>
  <c r="E919" i="106"/>
  <c r="D919" i="106"/>
  <c r="L919" i="106" s="1"/>
  <c r="J918" i="106"/>
  <c r="F918" i="106"/>
  <c r="E918" i="106"/>
  <c r="M918" i="106" s="1"/>
  <c r="B918" i="106"/>
  <c r="H917" i="106"/>
  <c r="G916" i="106"/>
  <c r="N916" i="106" s="1"/>
  <c r="F916" i="106"/>
  <c r="B916" i="106"/>
  <c r="G915" i="106"/>
  <c r="N915" i="106" s="1"/>
  <c r="E915" i="106"/>
  <c r="D915" i="106"/>
  <c r="L915" i="106" s="1"/>
  <c r="F914" i="106"/>
  <c r="E914" i="106"/>
  <c r="M914" i="106" s="1"/>
  <c r="B914" i="106"/>
  <c r="J914" i="106" s="1"/>
  <c r="G912" i="106"/>
  <c r="N912" i="106" s="1"/>
  <c r="F912" i="106"/>
  <c r="B912" i="106"/>
  <c r="G911" i="106"/>
  <c r="N911" i="106" s="1"/>
  <c r="E911" i="106"/>
  <c r="D911" i="106"/>
  <c r="L911" i="106" s="1"/>
  <c r="J910" i="106"/>
  <c r="F910" i="106"/>
  <c r="E910" i="106"/>
  <c r="M910" i="106" s="1"/>
  <c r="B910" i="106"/>
  <c r="I913" i="106"/>
  <c r="H913" i="106"/>
  <c r="G917" i="106"/>
  <c r="F917" i="106"/>
  <c r="E916" i="106"/>
  <c r="D916" i="106"/>
  <c r="L916" i="106" s="1"/>
  <c r="B919" i="106"/>
  <c r="G908" i="106"/>
  <c r="N908" i="106" s="1"/>
  <c r="F908" i="106"/>
  <c r="E908" i="106"/>
  <c r="B908" i="106"/>
  <c r="G907" i="106"/>
  <c r="N907" i="106" s="1"/>
  <c r="F907" i="106"/>
  <c r="E907" i="106"/>
  <c r="D907" i="106"/>
  <c r="L907" i="106" s="1"/>
  <c r="B907" i="106"/>
  <c r="N906" i="106"/>
  <c r="G906" i="106"/>
  <c r="F906" i="106"/>
  <c r="E906" i="106"/>
  <c r="B906" i="106"/>
  <c r="J906" i="106" s="1"/>
  <c r="L905" i="106"/>
  <c r="H905" i="106"/>
  <c r="G905" i="106"/>
  <c r="N905" i="106" s="1"/>
  <c r="F905" i="106"/>
  <c r="E905" i="106"/>
  <c r="M905" i="106" s="1"/>
  <c r="D905" i="106"/>
  <c r="B905" i="106"/>
  <c r="J905" i="106" s="1"/>
  <c r="J904" i="106"/>
  <c r="G904" i="106"/>
  <c r="N904" i="106" s="1"/>
  <c r="F904" i="106"/>
  <c r="E904" i="106"/>
  <c r="M904" i="106" s="1"/>
  <c r="B904" i="106"/>
  <c r="L903" i="106"/>
  <c r="G903" i="106"/>
  <c r="N903" i="106" s="1"/>
  <c r="F903" i="106"/>
  <c r="E903" i="106"/>
  <c r="D903" i="106"/>
  <c r="B903" i="106"/>
  <c r="G902" i="106"/>
  <c r="N902" i="106" s="1"/>
  <c r="F902" i="106"/>
  <c r="E902" i="106"/>
  <c r="M902" i="106" s="1"/>
  <c r="B902" i="106"/>
  <c r="L901" i="106"/>
  <c r="D901" i="106"/>
  <c r="B900" i="106"/>
  <c r="J900" i="106" s="1"/>
  <c r="H899" i="106"/>
  <c r="D899" i="106"/>
  <c r="B899" i="106"/>
  <c r="L898" i="106"/>
  <c r="G898" i="106"/>
  <c r="N898" i="106" s="1"/>
  <c r="D898" i="106"/>
  <c r="J897" i="106"/>
  <c r="I897" i="106"/>
  <c r="D897" i="106"/>
  <c r="L897" i="106" s="1"/>
  <c r="B897" i="106"/>
  <c r="H896" i="106"/>
  <c r="G896" i="106"/>
  <c r="N896" i="106" s="1"/>
  <c r="D896" i="106"/>
  <c r="L896" i="106" s="1"/>
  <c r="B896" i="106"/>
  <c r="J896" i="106" s="1"/>
  <c r="E895" i="106"/>
  <c r="G894" i="106"/>
  <c r="N894" i="106" s="1"/>
  <c r="D894" i="106"/>
  <c r="L894" i="106" s="1"/>
  <c r="I893" i="106"/>
  <c r="D893" i="106"/>
  <c r="L893" i="106" s="1"/>
  <c r="B893" i="106"/>
  <c r="H892" i="106"/>
  <c r="G892" i="106"/>
  <c r="N892" i="106" s="1"/>
  <c r="D892" i="106"/>
  <c r="L892" i="106" s="1"/>
  <c r="B892" i="106"/>
  <c r="J892" i="106" s="1"/>
  <c r="N891" i="106"/>
  <c r="N899" i="106" s="1"/>
  <c r="M891" i="106"/>
  <c r="M899" i="106" s="1"/>
  <c r="I899" i="106"/>
  <c r="H900" i="106"/>
  <c r="G901" i="106"/>
  <c r="N901" i="106" s="1"/>
  <c r="F895" i="106"/>
  <c r="D900" i="106"/>
  <c r="L900" i="106" s="1"/>
  <c r="B901" i="106"/>
  <c r="J901" i="106" s="1"/>
  <c r="G890" i="106"/>
  <c r="N890" i="106" s="1"/>
  <c r="D890" i="106"/>
  <c r="L890" i="106" s="1"/>
  <c r="I889" i="106"/>
  <c r="D889" i="106"/>
  <c r="L889" i="106" s="1"/>
  <c r="B889" i="106"/>
  <c r="H888" i="106"/>
  <c r="G888" i="106"/>
  <c r="N888" i="106" s="1"/>
  <c r="D888" i="106"/>
  <c r="L888" i="106" s="1"/>
  <c r="B888" i="106"/>
  <c r="J888" i="106" s="1"/>
  <c r="I887" i="106"/>
  <c r="H887" i="106"/>
  <c r="O887" i="106" s="1"/>
  <c r="G887" i="106"/>
  <c r="N887" i="106" s="1"/>
  <c r="F887" i="106"/>
  <c r="E887" i="106"/>
  <c r="D887" i="106"/>
  <c r="L887" i="106" s="1"/>
  <c r="B887" i="106"/>
  <c r="G886" i="106"/>
  <c r="N886" i="106" s="1"/>
  <c r="D886" i="106"/>
  <c r="L886" i="106" s="1"/>
  <c r="B886" i="106"/>
  <c r="J886" i="106" s="1"/>
  <c r="N885" i="106"/>
  <c r="I885" i="106"/>
  <c r="G885" i="106"/>
  <c r="D885" i="106"/>
  <c r="L885" i="106" s="1"/>
  <c r="B885" i="106"/>
  <c r="H884" i="106"/>
  <c r="G884" i="106"/>
  <c r="N884" i="106" s="1"/>
  <c r="D884" i="106"/>
  <c r="L884" i="106" s="1"/>
  <c r="B884" i="106"/>
  <c r="J884" i="106" s="1"/>
  <c r="H883" i="106"/>
  <c r="F883" i="106"/>
  <c r="E883" i="106"/>
  <c r="M883" i="106" s="1"/>
  <c r="L882" i="106"/>
  <c r="G882" i="106"/>
  <c r="N882" i="106" s="1"/>
  <c r="F882" i="106"/>
  <c r="D882" i="106"/>
  <c r="I881" i="106"/>
  <c r="B881" i="106"/>
  <c r="H880" i="106"/>
  <c r="G880" i="106"/>
  <c r="N880" i="106" s="1"/>
  <c r="H879" i="106"/>
  <c r="F879" i="106"/>
  <c r="G878" i="106"/>
  <c r="N878" i="106" s="1"/>
  <c r="F878" i="106"/>
  <c r="D878" i="106"/>
  <c r="L878" i="106" s="1"/>
  <c r="H876" i="106"/>
  <c r="G876" i="106"/>
  <c r="N876" i="106" s="1"/>
  <c r="H875" i="106"/>
  <c r="F875" i="106"/>
  <c r="E875" i="106"/>
  <c r="L874" i="106"/>
  <c r="G874" i="106"/>
  <c r="N874" i="106" s="1"/>
  <c r="F874" i="106"/>
  <c r="D874" i="106"/>
  <c r="N873" i="106"/>
  <c r="N881" i="106" s="1"/>
  <c r="H881" i="106"/>
  <c r="G881" i="106"/>
  <c r="F880" i="106"/>
  <c r="M873" i="106"/>
  <c r="M881" i="106" s="1"/>
  <c r="D883" i="106"/>
  <c r="L883" i="106" s="1"/>
  <c r="H872" i="106"/>
  <c r="G872" i="106"/>
  <c r="N872" i="106" s="1"/>
  <c r="I871" i="106"/>
  <c r="H871" i="106"/>
  <c r="G871" i="106"/>
  <c r="N871" i="106" s="1"/>
  <c r="F871" i="106"/>
  <c r="H870" i="106"/>
  <c r="G870" i="106"/>
  <c r="N870" i="106" s="1"/>
  <c r="F870" i="106"/>
  <c r="D870" i="106"/>
  <c r="L870" i="106" s="1"/>
  <c r="H869" i="106"/>
  <c r="G869" i="106"/>
  <c r="N869" i="106" s="1"/>
  <c r="F869" i="106"/>
  <c r="E869" i="106"/>
  <c r="M869" i="106" s="1"/>
  <c r="D869" i="106"/>
  <c r="L869" i="106" s="1"/>
  <c r="B869" i="106"/>
  <c r="H868" i="106"/>
  <c r="G868" i="106"/>
  <c r="N868" i="106" s="1"/>
  <c r="F868" i="106"/>
  <c r="B868" i="106"/>
  <c r="N867" i="106"/>
  <c r="H867" i="106"/>
  <c r="G867" i="106"/>
  <c r="F867" i="106"/>
  <c r="E867" i="106"/>
  <c r="M867" i="106" s="1"/>
  <c r="H866" i="106"/>
  <c r="G866" i="106"/>
  <c r="N866" i="106" s="1"/>
  <c r="F866" i="106"/>
  <c r="D866" i="106"/>
  <c r="L866" i="106" s="1"/>
  <c r="I865" i="106"/>
  <c r="D865" i="106"/>
  <c r="L865" i="106" s="1"/>
  <c r="B865" i="106"/>
  <c r="G864" i="106"/>
  <c r="N864" i="106" s="1"/>
  <c r="B864" i="106"/>
  <c r="L862" i="106"/>
  <c r="D862" i="106"/>
  <c r="L861" i="106"/>
  <c r="D861" i="106"/>
  <c r="H860" i="106"/>
  <c r="H859" i="106"/>
  <c r="O859" i="106" s="1"/>
  <c r="F859" i="106"/>
  <c r="F858" i="106"/>
  <c r="E858" i="106"/>
  <c r="I857" i="106"/>
  <c r="D857" i="106"/>
  <c r="L857" i="106" s="1"/>
  <c r="B857" i="106"/>
  <c r="H856" i="106"/>
  <c r="G856" i="106"/>
  <c r="N856" i="106" s="1"/>
  <c r="D856" i="106"/>
  <c r="L856" i="106" s="1"/>
  <c r="B856" i="106"/>
  <c r="N855" i="106"/>
  <c r="N863" i="106" s="1"/>
  <c r="M855" i="106"/>
  <c r="M863" i="106" s="1"/>
  <c r="I859" i="106"/>
  <c r="O855" i="106"/>
  <c r="O863" i="106" s="1"/>
  <c r="B861" i="106"/>
  <c r="N854" i="106"/>
  <c r="G854" i="106"/>
  <c r="D854" i="106"/>
  <c r="L854" i="106" s="1"/>
  <c r="I853" i="106"/>
  <c r="D853" i="106"/>
  <c r="L853" i="106" s="1"/>
  <c r="B853" i="106"/>
  <c r="I852" i="106"/>
  <c r="H852" i="106"/>
  <c r="O852" i="106" s="1"/>
  <c r="G852" i="106"/>
  <c r="N852" i="106" s="1"/>
  <c r="D852" i="106"/>
  <c r="L852" i="106" s="1"/>
  <c r="B852" i="106"/>
  <c r="N851" i="106"/>
  <c r="I851" i="106"/>
  <c r="H851" i="106"/>
  <c r="O851" i="106" s="1"/>
  <c r="G851" i="106"/>
  <c r="F851" i="106"/>
  <c r="E851" i="106"/>
  <c r="D851" i="106"/>
  <c r="L851" i="106" s="1"/>
  <c r="B851" i="106"/>
  <c r="G850" i="106"/>
  <c r="N850" i="106" s="1"/>
  <c r="D850" i="106"/>
  <c r="L850" i="106" s="1"/>
  <c r="J849" i="106"/>
  <c r="I849" i="106"/>
  <c r="D849" i="106"/>
  <c r="L849" i="106" s="1"/>
  <c r="B849" i="106"/>
  <c r="I848" i="106"/>
  <c r="H848" i="106"/>
  <c r="O848" i="106" s="1"/>
  <c r="G848" i="106"/>
  <c r="N848" i="106" s="1"/>
  <c r="D848" i="106"/>
  <c r="L848" i="106" s="1"/>
  <c r="B848" i="106"/>
  <c r="H847" i="106"/>
  <c r="F847" i="106"/>
  <c r="E847" i="106"/>
  <c r="M847" i="106" s="1"/>
  <c r="F846" i="106"/>
  <c r="D846" i="106"/>
  <c r="L846" i="106" s="1"/>
  <c r="I845" i="106"/>
  <c r="B845" i="106"/>
  <c r="H844" i="106"/>
  <c r="G844" i="106"/>
  <c r="N844" i="106" s="1"/>
  <c r="H843" i="106"/>
  <c r="F843" i="106"/>
  <c r="E843" i="106"/>
  <c r="F842" i="106"/>
  <c r="D842" i="106"/>
  <c r="L842" i="106" s="1"/>
  <c r="I841" i="106"/>
  <c r="B841" i="106"/>
  <c r="H840" i="106"/>
  <c r="G840" i="106"/>
  <c r="N840" i="106" s="1"/>
  <c r="H839" i="106"/>
  <c r="G839" i="106"/>
  <c r="N839" i="106" s="1"/>
  <c r="F839" i="106"/>
  <c r="M839" i="106" s="1"/>
  <c r="E839" i="106"/>
  <c r="H838" i="106"/>
  <c r="G838" i="106"/>
  <c r="N838" i="106" s="1"/>
  <c r="F838" i="106"/>
  <c r="D838" i="106"/>
  <c r="L838" i="106" s="1"/>
  <c r="N837" i="106"/>
  <c r="N845" i="106" s="1"/>
  <c r="H845" i="106"/>
  <c r="G845" i="106"/>
  <c r="F844" i="106"/>
  <c r="E844" i="106"/>
  <c r="D847" i="106"/>
  <c r="L847" i="106" s="1"/>
  <c r="H836" i="106"/>
  <c r="G836" i="106"/>
  <c r="N836" i="106" s="1"/>
  <c r="H835" i="106"/>
  <c r="G835" i="106"/>
  <c r="N835" i="106" s="1"/>
  <c r="F835" i="106"/>
  <c r="E835" i="106"/>
  <c r="M835" i="106" s="1"/>
  <c r="N834" i="106"/>
  <c r="H834" i="106"/>
  <c r="G834" i="106"/>
  <c r="F834" i="106"/>
  <c r="E834" i="106"/>
  <c r="M834" i="106" s="1"/>
  <c r="D834" i="106"/>
  <c r="L834" i="106" s="1"/>
  <c r="N833" i="106"/>
  <c r="H833" i="106"/>
  <c r="G833" i="106"/>
  <c r="F833" i="106"/>
  <c r="E833" i="106"/>
  <c r="M833" i="106" s="1"/>
  <c r="D833" i="106"/>
  <c r="L833" i="106" s="1"/>
  <c r="B833" i="106"/>
  <c r="J832" i="106"/>
  <c r="H832" i="106"/>
  <c r="G832" i="106"/>
  <c r="N832" i="106" s="1"/>
  <c r="F832" i="106"/>
  <c r="E832" i="106"/>
  <c r="M832" i="106" s="1"/>
  <c r="B832" i="106"/>
  <c r="N831" i="106"/>
  <c r="H831" i="106"/>
  <c r="G831" i="106"/>
  <c r="F831" i="106"/>
  <c r="E831" i="106"/>
  <c r="H830" i="106"/>
  <c r="G830" i="106"/>
  <c r="N830" i="106" s="1"/>
  <c r="F830" i="106"/>
  <c r="E830" i="106"/>
  <c r="D830" i="106"/>
  <c r="L830" i="106" s="1"/>
  <c r="I829" i="106"/>
  <c r="D829" i="106"/>
  <c r="L829" i="106" s="1"/>
  <c r="B829" i="106"/>
  <c r="G828" i="106"/>
  <c r="N828" i="106" s="1"/>
  <c r="B828" i="106"/>
  <c r="H827" i="106"/>
  <c r="F827" i="106"/>
  <c r="D826" i="106"/>
  <c r="L826" i="106" s="1"/>
  <c r="I825" i="106"/>
  <c r="D825" i="106"/>
  <c r="L825" i="106" s="1"/>
  <c r="B825" i="106"/>
  <c r="H824" i="106"/>
  <c r="G824" i="106"/>
  <c r="N824" i="106" s="1"/>
  <c r="B824" i="106"/>
  <c r="J824" i="106" s="1"/>
  <c r="H823" i="106"/>
  <c r="D822" i="106"/>
  <c r="L822" i="106" s="1"/>
  <c r="C822" i="106"/>
  <c r="I821" i="106"/>
  <c r="D821" i="106"/>
  <c r="L821" i="106" s="1"/>
  <c r="B821" i="106"/>
  <c r="J821" i="106" s="1"/>
  <c r="H820" i="106"/>
  <c r="G820" i="106"/>
  <c r="N820" i="106" s="1"/>
  <c r="B820" i="106"/>
  <c r="N819" i="106"/>
  <c r="N827" i="106" s="1"/>
  <c r="M819" i="106"/>
  <c r="M827" i="106" s="1"/>
  <c r="I826" i="106"/>
  <c r="G829" i="106"/>
  <c r="N829" i="106" s="1"/>
  <c r="F826" i="106"/>
  <c r="E823" i="106"/>
  <c r="D827" i="106"/>
  <c r="B826" i="106"/>
  <c r="I818" i="106"/>
  <c r="G818" i="106"/>
  <c r="N818" i="106" s="1"/>
  <c r="D818" i="106"/>
  <c r="L818" i="106" s="1"/>
  <c r="B818" i="106"/>
  <c r="J818" i="106" s="1"/>
  <c r="I817" i="106"/>
  <c r="G817" i="106"/>
  <c r="N817" i="106" s="1"/>
  <c r="D817" i="106"/>
  <c r="L817" i="106" s="1"/>
  <c r="B817" i="106"/>
  <c r="I816" i="106"/>
  <c r="H816" i="106"/>
  <c r="G816" i="106"/>
  <c r="N816" i="106" s="1"/>
  <c r="D816" i="106"/>
  <c r="L816" i="106" s="1"/>
  <c r="B816" i="106"/>
  <c r="I815" i="106"/>
  <c r="H815" i="106"/>
  <c r="O815" i="106" s="1"/>
  <c r="G815" i="106"/>
  <c r="N815" i="106" s="1"/>
  <c r="E815" i="106"/>
  <c r="D815" i="106"/>
  <c r="L815" i="106" s="1"/>
  <c r="B815" i="106"/>
  <c r="I814" i="106"/>
  <c r="G814" i="106"/>
  <c r="N814" i="106" s="1"/>
  <c r="F814" i="106"/>
  <c r="D814" i="106"/>
  <c r="L814" i="106" s="1"/>
  <c r="B814" i="106"/>
  <c r="J814" i="106" s="1"/>
  <c r="I813" i="106"/>
  <c r="G813" i="106"/>
  <c r="N813" i="106" s="1"/>
  <c r="D813" i="106"/>
  <c r="L813" i="106" s="1"/>
  <c r="B813" i="106"/>
  <c r="J812" i="106"/>
  <c r="I812" i="106"/>
  <c r="H812" i="106"/>
  <c r="O812" i="106" s="1"/>
  <c r="G812" i="106"/>
  <c r="N812" i="106" s="1"/>
  <c r="D812" i="106"/>
  <c r="L812" i="106" s="1"/>
  <c r="B812" i="106"/>
  <c r="H811" i="106"/>
  <c r="E811" i="106"/>
  <c r="G810" i="106"/>
  <c r="N810" i="106" s="1"/>
  <c r="F810" i="106"/>
  <c r="D810" i="106"/>
  <c r="L810" i="106" s="1"/>
  <c r="B809" i="106"/>
  <c r="H808" i="106"/>
  <c r="G808" i="106"/>
  <c r="N808" i="106" s="1"/>
  <c r="H807" i="106"/>
  <c r="F807" i="106"/>
  <c r="E807" i="106"/>
  <c r="M807" i="106" s="1"/>
  <c r="G806" i="106"/>
  <c r="N806" i="106" s="1"/>
  <c r="F806" i="106"/>
  <c r="D806" i="106"/>
  <c r="L806" i="106" s="1"/>
  <c r="I805" i="106"/>
  <c r="H804" i="106"/>
  <c r="G804" i="106"/>
  <c r="N804" i="106" s="1"/>
  <c r="H803" i="106"/>
  <c r="F803" i="106"/>
  <c r="E803" i="106"/>
  <c r="G802" i="106"/>
  <c r="N802" i="106" s="1"/>
  <c r="F802" i="106"/>
  <c r="D802" i="106"/>
  <c r="L802" i="106" s="1"/>
  <c r="I809" i="106"/>
  <c r="H809" i="106"/>
  <c r="G811" i="106"/>
  <c r="N811" i="106" s="1"/>
  <c r="F808" i="106"/>
  <c r="E808" i="106"/>
  <c r="D811" i="106"/>
  <c r="L811" i="106" s="1"/>
  <c r="H800" i="106"/>
  <c r="G800" i="106"/>
  <c r="N800" i="106" s="1"/>
  <c r="F800" i="106"/>
  <c r="H799" i="106"/>
  <c r="G799" i="106"/>
  <c r="N799" i="106" s="1"/>
  <c r="F799" i="106"/>
  <c r="E799" i="106"/>
  <c r="M799" i="106" s="1"/>
  <c r="H798" i="106"/>
  <c r="G798" i="106"/>
  <c r="N798" i="106" s="1"/>
  <c r="F798" i="106"/>
  <c r="D798" i="106"/>
  <c r="L798" i="106" s="1"/>
  <c r="H797" i="106"/>
  <c r="G797" i="106"/>
  <c r="N797" i="106" s="1"/>
  <c r="F797" i="106"/>
  <c r="E797" i="106"/>
  <c r="M797" i="106" s="1"/>
  <c r="D797" i="106"/>
  <c r="L797" i="106" s="1"/>
  <c r="B797" i="106"/>
  <c r="H796" i="106"/>
  <c r="G796" i="106"/>
  <c r="N796" i="106" s="1"/>
  <c r="F796" i="106"/>
  <c r="N795" i="106"/>
  <c r="H795" i="106"/>
  <c r="G795" i="106"/>
  <c r="F795" i="106"/>
  <c r="E795" i="106"/>
  <c r="H794" i="106"/>
  <c r="G794" i="106"/>
  <c r="N794" i="106" s="1"/>
  <c r="F794" i="106"/>
  <c r="D794" i="106"/>
  <c r="L794" i="106" s="1"/>
  <c r="I793" i="106"/>
  <c r="D793" i="106"/>
  <c r="L793" i="106" s="1"/>
  <c r="B793" i="106"/>
  <c r="H792" i="106"/>
  <c r="G792" i="106"/>
  <c r="N792" i="106" s="1"/>
  <c r="B792" i="106"/>
  <c r="J792" i="106" s="1"/>
  <c r="F791" i="106"/>
  <c r="E791" i="106"/>
  <c r="G790" i="106"/>
  <c r="N790" i="106" s="1"/>
  <c r="D790" i="106"/>
  <c r="L790" i="106" s="1"/>
  <c r="J789" i="106"/>
  <c r="I789" i="106"/>
  <c r="D789" i="106"/>
  <c r="L789" i="106" s="1"/>
  <c r="B789" i="106"/>
  <c r="H788" i="106"/>
  <c r="G788" i="106"/>
  <c r="N788" i="106" s="1"/>
  <c r="B788" i="106"/>
  <c r="J788" i="106" s="1"/>
  <c r="E787" i="106"/>
  <c r="M787" i="106" s="1"/>
  <c r="L786" i="106"/>
  <c r="G786" i="106"/>
  <c r="N786" i="106" s="1"/>
  <c r="D786" i="106"/>
  <c r="I785" i="106"/>
  <c r="D785" i="106"/>
  <c r="L785" i="106" s="1"/>
  <c r="B785" i="106"/>
  <c r="H784" i="106"/>
  <c r="G784" i="106"/>
  <c r="N784" i="106" s="1"/>
  <c r="B784" i="106"/>
  <c r="J784" i="106" s="1"/>
  <c r="N783" i="106"/>
  <c r="N791" i="106" s="1"/>
  <c r="M783" i="106"/>
  <c r="M791" i="106" s="1"/>
  <c r="I790" i="106"/>
  <c r="H793" i="106"/>
  <c r="G793" i="106"/>
  <c r="N793" i="106" s="1"/>
  <c r="F787" i="106"/>
  <c r="D791" i="106"/>
  <c r="B790" i="106"/>
  <c r="L782" i="106"/>
  <c r="G782" i="106"/>
  <c r="N782" i="106" s="1"/>
  <c r="D782" i="106"/>
  <c r="B782" i="106"/>
  <c r="J782" i="106" s="1"/>
  <c r="I781" i="106"/>
  <c r="G781" i="106"/>
  <c r="N781" i="106" s="1"/>
  <c r="D781" i="106"/>
  <c r="L781" i="106" s="1"/>
  <c r="B781" i="106"/>
  <c r="H780" i="106"/>
  <c r="G780" i="106"/>
  <c r="N780" i="106" s="1"/>
  <c r="D780" i="106"/>
  <c r="L780" i="106" s="1"/>
  <c r="B780" i="106"/>
  <c r="J780" i="106" s="1"/>
  <c r="I779" i="106"/>
  <c r="H779" i="106"/>
  <c r="O779" i="106" s="1"/>
  <c r="G779" i="106"/>
  <c r="N779" i="106" s="1"/>
  <c r="F779" i="106"/>
  <c r="E779" i="106"/>
  <c r="D779" i="106"/>
  <c r="L779" i="106" s="1"/>
  <c r="B779" i="106"/>
  <c r="G778" i="106"/>
  <c r="N778" i="106" s="1"/>
  <c r="D778" i="106"/>
  <c r="L778" i="106" s="1"/>
  <c r="B778" i="106"/>
  <c r="J778" i="106" s="1"/>
  <c r="I777" i="106"/>
  <c r="G777" i="106"/>
  <c r="N777" i="106" s="1"/>
  <c r="D777" i="106"/>
  <c r="L777" i="106" s="1"/>
  <c r="B777" i="106"/>
  <c r="H776" i="106"/>
  <c r="G776" i="106"/>
  <c r="N776" i="106" s="1"/>
  <c r="D776" i="106"/>
  <c r="L776" i="106" s="1"/>
  <c r="B776" i="106"/>
  <c r="J776" i="106" s="1"/>
  <c r="H775" i="106"/>
  <c r="F775" i="106"/>
  <c r="G774" i="106"/>
  <c r="N774" i="106" s="1"/>
  <c r="F774" i="106"/>
  <c r="D774" i="106"/>
  <c r="L774" i="106" s="1"/>
  <c r="H772" i="106"/>
  <c r="G772" i="106"/>
  <c r="N772" i="106" s="1"/>
  <c r="H771" i="106"/>
  <c r="F771" i="106"/>
  <c r="G770" i="106"/>
  <c r="N770" i="106" s="1"/>
  <c r="F770" i="106"/>
  <c r="D770" i="106"/>
  <c r="L770" i="106" s="1"/>
  <c r="I769" i="106"/>
  <c r="B769" i="106"/>
  <c r="H768" i="106"/>
  <c r="G768" i="106"/>
  <c r="N768" i="106" s="1"/>
  <c r="I767" i="106"/>
  <c r="H767" i="106"/>
  <c r="F767" i="106"/>
  <c r="G766" i="106"/>
  <c r="N766" i="106" s="1"/>
  <c r="F766" i="106"/>
  <c r="D766" i="106"/>
  <c r="L766" i="106" s="1"/>
  <c r="H773" i="106"/>
  <c r="G773" i="106"/>
  <c r="F772" i="106"/>
  <c r="D775" i="106"/>
  <c r="L775" i="106" s="1"/>
  <c r="H764" i="106"/>
  <c r="G764" i="106"/>
  <c r="N764" i="106" s="1"/>
  <c r="F764" i="106"/>
  <c r="N763" i="106"/>
  <c r="I763" i="106"/>
  <c r="H763" i="106"/>
  <c r="O763" i="106" s="1"/>
  <c r="G763" i="106"/>
  <c r="F763" i="106"/>
  <c r="E763" i="106"/>
  <c r="M763" i="106" s="1"/>
  <c r="H762" i="106"/>
  <c r="G762" i="106"/>
  <c r="N762" i="106" s="1"/>
  <c r="F762" i="106"/>
  <c r="D762" i="106"/>
  <c r="L762" i="106" s="1"/>
  <c r="I761" i="106"/>
  <c r="H761" i="106"/>
  <c r="O761" i="106" s="1"/>
  <c r="G761" i="106"/>
  <c r="N761" i="106" s="1"/>
  <c r="F761" i="106"/>
  <c r="E761" i="106"/>
  <c r="M761" i="106" s="1"/>
  <c r="D761" i="106"/>
  <c r="L761" i="106" s="1"/>
  <c r="B761" i="106"/>
  <c r="H760" i="106"/>
  <c r="G760" i="106"/>
  <c r="N760" i="106" s="1"/>
  <c r="F760" i="106"/>
  <c r="N759" i="106"/>
  <c r="I759" i="106"/>
  <c r="H759" i="106"/>
  <c r="O759" i="106" s="1"/>
  <c r="G759" i="106"/>
  <c r="F759" i="106"/>
  <c r="E759" i="106"/>
  <c r="M759" i="106" s="1"/>
  <c r="H758" i="106"/>
  <c r="G758" i="106"/>
  <c r="N758" i="106" s="1"/>
  <c r="F758" i="106"/>
  <c r="D758" i="106"/>
  <c r="L758" i="106" s="1"/>
  <c r="E757" i="106"/>
  <c r="D757" i="106"/>
  <c r="L757" i="106" s="1"/>
  <c r="B757" i="106"/>
  <c r="G756" i="106"/>
  <c r="N756" i="106" s="1"/>
  <c r="B756" i="106"/>
  <c r="J756" i="106" s="1"/>
  <c r="I755" i="106"/>
  <c r="G754" i="106"/>
  <c r="N754" i="106" s="1"/>
  <c r="D754" i="106"/>
  <c r="L754" i="106" s="1"/>
  <c r="D753" i="106"/>
  <c r="L753" i="106" s="1"/>
  <c r="B753" i="106"/>
  <c r="J753" i="106" s="1"/>
  <c r="G752" i="106"/>
  <c r="N752" i="106" s="1"/>
  <c r="B752" i="106"/>
  <c r="J752" i="106" s="1"/>
  <c r="I751" i="106"/>
  <c r="F751" i="106"/>
  <c r="G750" i="106"/>
  <c r="N750" i="106" s="1"/>
  <c r="D750" i="106"/>
  <c r="L750" i="106" s="1"/>
  <c r="D749" i="106"/>
  <c r="L749" i="106" s="1"/>
  <c r="B749" i="106"/>
  <c r="J749" i="106" s="1"/>
  <c r="H748" i="106"/>
  <c r="G748" i="106"/>
  <c r="N748" i="106" s="1"/>
  <c r="B748" i="106"/>
  <c r="J748" i="106" s="1"/>
  <c r="N747" i="106"/>
  <c r="N755" i="106" s="1"/>
  <c r="M747" i="106"/>
  <c r="M755" i="106" s="1"/>
  <c r="H756" i="106"/>
  <c r="G757" i="106"/>
  <c r="N757" i="106" s="1"/>
  <c r="E745" i="106"/>
  <c r="D755" i="106"/>
  <c r="B754" i="106"/>
  <c r="L746" i="106"/>
  <c r="G746" i="106"/>
  <c r="N746" i="106" s="1"/>
  <c r="F746" i="106"/>
  <c r="D746" i="106"/>
  <c r="B746" i="106"/>
  <c r="J746" i="106" s="1"/>
  <c r="G745" i="106"/>
  <c r="N745" i="106" s="1"/>
  <c r="D745" i="106"/>
  <c r="L745" i="106" s="1"/>
  <c r="B745" i="106"/>
  <c r="J745" i="106" s="1"/>
  <c r="H744" i="106"/>
  <c r="G744" i="106"/>
  <c r="N744" i="106" s="1"/>
  <c r="D744" i="106"/>
  <c r="L744" i="106" s="1"/>
  <c r="B744" i="106"/>
  <c r="J744" i="106" s="1"/>
  <c r="N743" i="106"/>
  <c r="H743" i="106"/>
  <c r="G743" i="106"/>
  <c r="F743" i="106"/>
  <c r="E743" i="106"/>
  <c r="M743" i="106" s="1"/>
  <c r="D743" i="106"/>
  <c r="L743" i="106" s="1"/>
  <c r="B743" i="106"/>
  <c r="G742" i="106"/>
  <c r="N742" i="106" s="1"/>
  <c r="F742" i="106"/>
  <c r="D742" i="106"/>
  <c r="L742" i="106" s="1"/>
  <c r="C742" i="106"/>
  <c r="K742" i="106" s="1"/>
  <c r="B742" i="106"/>
  <c r="J742" i="106" s="1"/>
  <c r="I741" i="106"/>
  <c r="G741" i="106"/>
  <c r="N741" i="106" s="1"/>
  <c r="E741" i="106"/>
  <c r="D741" i="106"/>
  <c r="L741" i="106" s="1"/>
  <c r="B741" i="106"/>
  <c r="J740" i="106"/>
  <c r="H740" i="106"/>
  <c r="G740" i="106"/>
  <c r="N740" i="106" s="1"/>
  <c r="D740" i="106"/>
  <c r="L740" i="106" s="1"/>
  <c r="B740" i="106"/>
  <c r="I739" i="106"/>
  <c r="G738" i="106"/>
  <c r="N738" i="106" s="1"/>
  <c r="I737" i="106"/>
  <c r="E737" i="106"/>
  <c r="B737" i="106"/>
  <c r="G736" i="106"/>
  <c r="N736" i="106" s="1"/>
  <c r="E735" i="106"/>
  <c r="D735" i="106"/>
  <c r="L735" i="106" s="1"/>
  <c r="B735" i="106"/>
  <c r="E734" i="106"/>
  <c r="B734" i="106"/>
  <c r="I733" i="106"/>
  <c r="N732" i="106"/>
  <c r="G732" i="106"/>
  <c r="F732" i="106"/>
  <c r="B732" i="106"/>
  <c r="G731" i="106"/>
  <c r="N731" i="106" s="1"/>
  <c r="E731" i="106"/>
  <c r="D731" i="106"/>
  <c r="L731" i="106" s="1"/>
  <c r="B731" i="106"/>
  <c r="N730" i="106"/>
  <c r="G730" i="106"/>
  <c r="E730" i="106"/>
  <c r="B730" i="106"/>
  <c r="J730" i="106" s="1"/>
  <c r="N729" i="106"/>
  <c r="N737" i="106" s="1"/>
  <c r="G734" i="106"/>
  <c r="N734" i="106" s="1"/>
  <c r="F734" i="106"/>
  <c r="D734" i="106"/>
  <c r="L734" i="106" s="1"/>
  <c r="G728" i="106"/>
  <c r="N728" i="106" s="1"/>
  <c r="F728" i="106"/>
  <c r="D728" i="106"/>
  <c r="L728" i="106" s="1"/>
  <c r="B728" i="106"/>
  <c r="G727" i="106"/>
  <c r="N727" i="106" s="1"/>
  <c r="E727" i="106"/>
  <c r="D727" i="106"/>
  <c r="L727" i="106" s="1"/>
  <c r="B727" i="106"/>
  <c r="G726" i="106"/>
  <c r="N726" i="106" s="1"/>
  <c r="F726" i="106"/>
  <c r="E726" i="106"/>
  <c r="M726" i="106" s="1"/>
  <c r="B726" i="106"/>
  <c r="J726" i="106" s="1"/>
  <c r="I725" i="106"/>
  <c r="H725" i="106"/>
  <c r="G725" i="106"/>
  <c r="N725" i="106" s="1"/>
  <c r="F725" i="106"/>
  <c r="E725" i="106"/>
  <c r="M725" i="106" s="1"/>
  <c r="D725" i="106"/>
  <c r="L725" i="106" s="1"/>
  <c r="B725" i="106"/>
  <c r="J725" i="106" s="1"/>
  <c r="G724" i="106"/>
  <c r="N724" i="106" s="1"/>
  <c r="F724" i="106"/>
  <c r="E724" i="106"/>
  <c r="D724" i="106"/>
  <c r="L724" i="106" s="1"/>
  <c r="B724" i="106"/>
  <c r="M723" i="106"/>
  <c r="G723" i="106"/>
  <c r="N723" i="106" s="1"/>
  <c r="F723" i="106"/>
  <c r="E723" i="106"/>
  <c r="D723" i="106"/>
  <c r="L723" i="106" s="1"/>
  <c r="B723" i="106"/>
  <c r="N722" i="106"/>
  <c r="G722" i="106"/>
  <c r="F722" i="106"/>
  <c r="E722" i="106"/>
  <c r="D722" i="106"/>
  <c r="L722" i="106" s="1"/>
  <c r="B722" i="106"/>
  <c r="I721" i="106"/>
  <c r="H721" i="106"/>
  <c r="I720" i="106"/>
  <c r="G720" i="106"/>
  <c r="N720" i="106" s="1"/>
  <c r="F720" i="106"/>
  <c r="E719" i="106"/>
  <c r="D719" i="106"/>
  <c r="B718" i="106"/>
  <c r="I717" i="106"/>
  <c r="H717" i="106"/>
  <c r="I716" i="106"/>
  <c r="G716" i="106"/>
  <c r="N716" i="106" s="1"/>
  <c r="F716" i="106"/>
  <c r="E715" i="106"/>
  <c r="D715" i="106"/>
  <c r="L715" i="106" s="1"/>
  <c r="B714" i="106"/>
  <c r="I713" i="106"/>
  <c r="H713" i="106"/>
  <c r="I712" i="106"/>
  <c r="G712" i="106"/>
  <c r="N712" i="106" s="1"/>
  <c r="F712" i="106"/>
  <c r="B712" i="106"/>
  <c r="O711" i="106"/>
  <c r="O719" i="106" s="1"/>
  <c r="M711" i="106"/>
  <c r="M719" i="106" s="1"/>
  <c r="L711" i="106"/>
  <c r="L719" i="106" s="1"/>
  <c r="I718" i="106"/>
  <c r="H718" i="106"/>
  <c r="G721" i="106"/>
  <c r="N721" i="106" s="1"/>
  <c r="F721" i="106"/>
  <c r="J710" i="106"/>
  <c r="I710" i="106"/>
  <c r="F710" i="106"/>
  <c r="B710" i="106"/>
  <c r="I709" i="106"/>
  <c r="H709" i="106"/>
  <c r="F709" i="106"/>
  <c r="B709" i="106"/>
  <c r="J709" i="106" s="1"/>
  <c r="I708" i="106"/>
  <c r="H708" i="106"/>
  <c r="O708" i="106" s="1"/>
  <c r="G708" i="106"/>
  <c r="N708" i="106" s="1"/>
  <c r="F708" i="106"/>
  <c r="B708" i="106"/>
  <c r="O707" i="106"/>
  <c r="I707" i="106"/>
  <c r="H707" i="106"/>
  <c r="G707" i="106"/>
  <c r="N707" i="106" s="1"/>
  <c r="F707" i="106"/>
  <c r="E707" i="106"/>
  <c r="D707" i="106"/>
  <c r="L707" i="106" s="1"/>
  <c r="B707" i="106"/>
  <c r="I706" i="106"/>
  <c r="H706" i="106"/>
  <c r="O706" i="106" s="1"/>
  <c r="F706" i="106"/>
  <c r="B706" i="106"/>
  <c r="I705" i="106"/>
  <c r="H705" i="106"/>
  <c r="F705" i="106"/>
  <c r="B705" i="106"/>
  <c r="J705" i="106" s="1"/>
  <c r="I704" i="106"/>
  <c r="H704" i="106"/>
  <c r="G704" i="106"/>
  <c r="N704" i="106" s="1"/>
  <c r="F704" i="106"/>
  <c r="B704" i="106"/>
  <c r="G703" i="106"/>
  <c r="N703" i="106" s="1"/>
  <c r="E703" i="106"/>
  <c r="D703" i="106"/>
  <c r="L703" i="106" s="1"/>
  <c r="E702" i="106"/>
  <c r="B702" i="106"/>
  <c r="J702" i="106" s="1"/>
  <c r="G700" i="106"/>
  <c r="N700" i="106" s="1"/>
  <c r="F700" i="106"/>
  <c r="G699" i="106"/>
  <c r="N699" i="106" s="1"/>
  <c r="E699" i="106"/>
  <c r="D699" i="106"/>
  <c r="L699" i="106" s="1"/>
  <c r="E698" i="106"/>
  <c r="B698" i="106"/>
  <c r="J698" i="106" s="1"/>
  <c r="N696" i="106"/>
  <c r="G696" i="106"/>
  <c r="F696" i="106"/>
  <c r="L695" i="106"/>
  <c r="G695" i="106"/>
  <c r="N695" i="106" s="1"/>
  <c r="E695" i="106"/>
  <c r="D695" i="106"/>
  <c r="E694" i="106"/>
  <c r="B694" i="106"/>
  <c r="G701" i="106"/>
  <c r="F701" i="106"/>
  <c r="E700" i="106"/>
  <c r="D700" i="106"/>
  <c r="L700" i="106" s="1"/>
  <c r="B703" i="106"/>
  <c r="G692" i="106"/>
  <c r="N692" i="106" s="1"/>
  <c r="F692" i="106"/>
  <c r="E692" i="106"/>
  <c r="D692" i="106"/>
  <c r="L692" i="106" s="1"/>
  <c r="B692" i="106"/>
  <c r="G691" i="106"/>
  <c r="N691" i="106" s="1"/>
  <c r="F691" i="106"/>
  <c r="E691" i="106"/>
  <c r="D691" i="106"/>
  <c r="L691" i="106" s="1"/>
  <c r="B691" i="106"/>
  <c r="G690" i="106"/>
  <c r="N690" i="106" s="1"/>
  <c r="F690" i="106"/>
  <c r="E690" i="106"/>
  <c r="M690" i="106" s="1"/>
  <c r="D690" i="106"/>
  <c r="L690" i="106" s="1"/>
  <c r="B690" i="106"/>
  <c r="I689" i="106"/>
  <c r="H689" i="106"/>
  <c r="G689" i="106"/>
  <c r="N689" i="106" s="1"/>
  <c r="F689" i="106"/>
  <c r="E689" i="106"/>
  <c r="M689" i="106" s="1"/>
  <c r="D689" i="106"/>
  <c r="L689" i="106" s="1"/>
  <c r="B689" i="106"/>
  <c r="J689" i="106" s="1"/>
  <c r="G688" i="106"/>
  <c r="N688" i="106" s="1"/>
  <c r="F688" i="106"/>
  <c r="E688" i="106"/>
  <c r="D688" i="106"/>
  <c r="L688" i="106" s="1"/>
  <c r="B688" i="106"/>
  <c r="M687" i="106"/>
  <c r="G687" i="106"/>
  <c r="N687" i="106" s="1"/>
  <c r="F687" i="106"/>
  <c r="E687" i="106"/>
  <c r="D687" i="106"/>
  <c r="L687" i="106" s="1"/>
  <c r="B687" i="106"/>
  <c r="G686" i="106"/>
  <c r="N686" i="106" s="1"/>
  <c r="F686" i="106"/>
  <c r="E686" i="106"/>
  <c r="M686" i="106" s="1"/>
  <c r="D686" i="106"/>
  <c r="L686" i="106" s="1"/>
  <c r="B686" i="106"/>
  <c r="I685" i="106"/>
  <c r="H685" i="106"/>
  <c r="O685" i="106" s="1"/>
  <c r="I684" i="106"/>
  <c r="G684" i="106"/>
  <c r="N684" i="106" s="1"/>
  <c r="F684" i="106"/>
  <c r="D683" i="106"/>
  <c r="B682" i="106"/>
  <c r="I681" i="106"/>
  <c r="H681" i="106"/>
  <c r="O681" i="106" s="1"/>
  <c r="I680" i="106"/>
  <c r="G680" i="106"/>
  <c r="N680" i="106" s="1"/>
  <c r="F680" i="106"/>
  <c r="D679" i="106"/>
  <c r="L679" i="106" s="1"/>
  <c r="B678" i="106"/>
  <c r="I677" i="106"/>
  <c r="H677" i="106"/>
  <c r="I676" i="106"/>
  <c r="G676" i="106"/>
  <c r="N676" i="106" s="1"/>
  <c r="F676" i="106"/>
  <c r="O675" i="106"/>
  <c r="O683" i="106" s="1"/>
  <c r="L675" i="106"/>
  <c r="L683" i="106" s="1"/>
  <c r="I682" i="106"/>
  <c r="H682" i="106"/>
  <c r="G685" i="106"/>
  <c r="N685" i="106" s="1"/>
  <c r="F685" i="106"/>
  <c r="I674" i="106"/>
  <c r="H674" i="106"/>
  <c r="O674" i="106" s="1"/>
  <c r="F674" i="106"/>
  <c r="B674" i="106"/>
  <c r="J674" i="106" s="1"/>
  <c r="I673" i="106"/>
  <c r="H673" i="106"/>
  <c r="O673" i="106" s="1"/>
  <c r="F673" i="106"/>
  <c r="B673" i="106"/>
  <c r="J673" i="106" s="1"/>
  <c r="I672" i="106"/>
  <c r="H672" i="106"/>
  <c r="G672" i="106"/>
  <c r="N672" i="106" s="1"/>
  <c r="F672" i="106"/>
  <c r="B672" i="106"/>
  <c r="I671" i="106"/>
  <c r="H671" i="106"/>
  <c r="O671" i="106" s="1"/>
  <c r="G671" i="106"/>
  <c r="N671" i="106" s="1"/>
  <c r="F671" i="106"/>
  <c r="D671" i="106"/>
  <c r="L671" i="106" s="1"/>
  <c r="B671" i="106"/>
  <c r="J670" i="106"/>
  <c r="I670" i="106"/>
  <c r="H670" i="106"/>
  <c r="O670" i="106" s="1"/>
  <c r="F670" i="106"/>
  <c r="B670" i="106"/>
  <c r="I669" i="106"/>
  <c r="H669" i="106"/>
  <c r="O669" i="106" s="1"/>
  <c r="F669" i="106"/>
  <c r="B669" i="106"/>
  <c r="J669" i="106" s="1"/>
  <c r="O668" i="106"/>
  <c r="I668" i="106"/>
  <c r="H668" i="106"/>
  <c r="G668" i="106"/>
  <c r="N668" i="106" s="1"/>
  <c r="F668" i="106"/>
  <c r="B668" i="106"/>
  <c r="L667" i="106"/>
  <c r="G667" i="106"/>
  <c r="N667" i="106" s="1"/>
  <c r="E667" i="106"/>
  <c r="D667" i="106"/>
  <c r="E666" i="106"/>
  <c r="B666" i="106"/>
  <c r="N664" i="106"/>
  <c r="G664" i="106"/>
  <c r="F664" i="106"/>
  <c r="G663" i="106"/>
  <c r="N663" i="106" s="1"/>
  <c r="E663" i="106"/>
  <c r="D663" i="106"/>
  <c r="L663" i="106" s="1"/>
  <c r="E662" i="106"/>
  <c r="B662" i="106"/>
  <c r="J662" i="106" s="1"/>
  <c r="G660" i="106"/>
  <c r="N660" i="106" s="1"/>
  <c r="F660" i="106"/>
  <c r="G659" i="106"/>
  <c r="N659" i="106" s="1"/>
  <c r="E659" i="106"/>
  <c r="D659" i="106"/>
  <c r="L659" i="106" s="1"/>
  <c r="E658" i="106"/>
  <c r="B658" i="106"/>
  <c r="G665" i="106"/>
  <c r="F665" i="106"/>
  <c r="E664" i="106"/>
  <c r="M664" i="106" s="1"/>
  <c r="D664" i="106"/>
  <c r="L664" i="106" s="1"/>
  <c r="B667" i="106"/>
  <c r="G656" i="106"/>
  <c r="N656" i="106" s="1"/>
  <c r="F656" i="106"/>
  <c r="E656" i="106"/>
  <c r="D656" i="106"/>
  <c r="L656" i="106" s="1"/>
  <c r="B656" i="106"/>
  <c r="G655" i="106"/>
  <c r="N655" i="106" s="1"/>
  <c r="F655" i="106"/>
  <c r="E655" i="106"/>
  <c r="D655" i="106"/>
  <c r="L655" i="106" s="1"/>
  <c r="B655" i="106"/>
  <c r="J654" i="106"/>
  <c r="G654" i="106"/>
  <c r="N654" i="106" s="1"/>
  <c r="F654" i="106"/>
  <c r="E654" i="106"/>
  <c r="D654" i="106"/>
  <c r="L654" i="106" s="1"/>
  <c r="B654" i="106"/>
  <c r="I653" i="106"/>
  <c r="H653" i="106"/>
  <c r="G653" i="106"/>
  <c r="N653" i="106" s="1"/>
  <c r="F653" i="106"/>
  <c r="E653" i="106"/>
  <c r="D653" i="106"/>
  <c r="L653" i="106" s="1"/>
  <c r="B653" i="106"/>
  <c r="J653" i="106" s="1"/>
  <c r="G652" i="106"/>
  <c r="N652" i="106" s="1"/>
  <c r="F652" i="106"/>
  <c r="E652" i="106"/>
  <c r="M652" i="106" s="1"/>
  <c r="D652" i="106"/>
  <c r="L652" i="106" s="1"/>
  <c r="B652" i="106"/>
  <c r="G651" i="106"/>
  <c r="N651" i="106" s="1"/>
  <c r="F651" i="106"/>
  <c r="E651" i="106"/>
  <c r="M651" i="106" s="1"/>
  <c r="D651" i="106"/>
  <c r="L651" i="106" s="1"/>
  <c r="B651" i="106"/>
  <c r="G650" i="106"/>
  <c r="N650" i="106" s="1"/>
  <c r="F650" i="106"/>
  <c r="E650" i="106"/>
  <c r="M650" i="106" s="1"/>
  <c r="D650" i="106"/>
  <c r="L650" i="106" s="1"/>
  <c r="B650" i="106"/>
  <c r="F648" i="106"/>
  <c r="G647" i="106"/>
  <c r="B646" i="106"/>
  <c r="G644" i="106"/>
  <c r="N644" i="106" s="1"/>
  <c r="F644" i="106"/>
  <c r="B643" i="106"/>
  <c r="H642" i="106"/>
  <c r="G642" i="106"/>
  <c r="N642" i="106" s="1"/>
  <c r="D642" i="106"/>
  <c r="L642" i="106" s="1"/>
  <c r="H641" i="106"/>
  <c r="B641" i="106"/>
  <c r="H640" i="106"/>
  <c r="G640" i="106"/>
  <c r="N640" i="106" s="1"/>
  <c r="D640" i="106"/>
  <c r="L640" i="106" s="1"/>
  <c r="N639" i="106"/>
  <c r="N647" i="106" s="1"/>
  <c r="M639" i="106"/>
  <c r="M647" i="106" s="1"/>
  <c r="E647" i="106"/>
  <c r="D641" i="106"/>
  <c r="L641" i="106" s="1"/>
  <c r="H638" i="106"/>
  <c r="G638" i="106"/>
  <c r="N638" i="106" s="1"/>
  <c r="D638" i="106"/>
  <c r="L638" i="106" s="1"/>
  <c r="M637" i="106"/>
  <c r="J637" i="106"/>
  <c r="H637" i="106"/>
  <c r="F637" i="106"/>
  <c r="E637" i="106"/>
  <c r="B637" i="106"/>
  <c r="L636" i="106"/>
  <c r="H636" i="106"/>
  <c r="G636" i="106"/>
  <c r="N636" i="106" s="1"/>
  <c r="D636" i="106"/>
  <c r="H635" i="106"/>
  <c r="G635" i="106"/>
  <c r="N635" i="106" s="1"/>
  <c r="F635" i="106"/>
  <c r="E635" i="106"/>
  <c r="D635" i="106"/>
  <c r="L635" i="106" s="1"/>
  <c r="B635" i="106"/>
  <c r="H634" i="106"/>
  <c r="G634" i="106"/>
  <c r="N634" i="106" s="1"/>
  <c r="D634" i="106"/>
  <c r="L634" i="106" s="1"/>
  <c r="H633" i="106"/>
  <c r="F633" i="106"/>
  <c r="B633" i="106"/>
  <c r="H632" i="106"/>
  <c r="G632" i="106"/>
  <c r="N632" i="106" s="1"/>
  <c r="D632" i="106"/>
  <c r="L632" i="106" s="1"/>
  <c r="G631" i="106"/>
  <c r="N631" i="106" s="1"/>
  <c r="F631" i="106"/>
  <c r="H630" i="106"/>
  <c r="G630" i="106"/>
  <c r="N630" i="106" s="1"/>
  <c r="D630" i="106"/>
  <c r="L630" i="106" s="1"/>
  <c r="E629" i="106"/>
  <c r="B629" i="106"/>
  <c r="H628" i="106"/>
  <c r="G628" i="106"/>
  <c r="N628" i="106" s="1"/>
  <c r="D628" i="106"/>
  <c r="L628" i="106" s="1"/>
  <c r="I627" i="106"/>
  <c r="G627" i="106"/>
  <c r="N627" i="106" s="1"/>
  <c r="E627" i="106"/>
  <c r="B627" i="106"/>
  <c r="J627" i="106" s="1"/>
  <c r="H626" i="106"/>
  <c r="G626" i="106"/>
  <c r="N626" i="106" s="1"/>
  <c r="D626" i="106"/>
  <c r="L626" i="106" s="1"/>
  <c r="F625" i="106"/>
  <c r="H624" i="106"/>
  <c r="G624" i="106"/>
  <c r="N624" i="106" s="1"/>
  <c r="D624" i="106"/>
  <c r="L624" i="106" s="1"/>
  <c r="N623" i="106"/>
  <c r="G623" i="106"/>
  <c r="F623" i="106"/>
  <c r="E623" i="106"/>
  <c r="D623" i="106"/>
  <c r="L623" i="106" s="1"/>
  <c r="H622" i="106"/>
  <c r="G622" i="106"/>
  <c r="N622" i="106" s="1"/>
  <c r="D622" i="106"/>
  <c r="L622" i="106" s="1"/>
  <c r="N621" i="106"/>
  <c r="N629" i="106" s="1"/>
  <c r="I625" i="106"/>
  <c r="H629" i="106"/>
  <c r="G629" i="106"/>
  <c r="E631" i="106"/>
  <c r="M631" i="106" s="1"/>
  <c r="D631" i="106"/>
  <c r="L631" i="106" s="1"/>
  <c r="B615" i="106"/>
  <c r="H620" i="106"/>
  <c r="G620" i="106"/>
  <c r="N620" i="106" s="1"/>
  <c r="D620" i="106"/>
  <c r="L620" i="106" s="1"/>
  <c r="I619" i="106"/>
  <c r="G619" i="106"/>
  <c r="N619" i="106" s="1"/>
  <c r="E619" i="106"/>
  <c r="D619" i="106"/>
  <c r="L619" i="106" s="1"/>
  <c r="B619" i="106"/>
  <c r="H618" i="106"/>
  <c r="G618" i="106"/>
  <c r="N618" i="106" s="1"/>
  <c r="D618" i="106"/>
  <c r="L618" i="106" s="1"/>
  <c r="N617" i="106"/>
  <c r="I617" i="106"/>
  <c r="H617" i="106"/>
  <c r="G617" i="106"/>
  <c r="E617" i="106"/>
  <c r="D617" i="106"/>
  <c r="L617" i="106" s="1"/>
  <c r="L616" i="106"/>
  <c r="H616" i="106"/>
  <c r="G616" i="106"/>
  <c r="N616" i="106" s="1"/>
  <c r="D616" i="106"/>
  <c r="H615" i="106"/>
  <c r="G615" i="106"/>
  <c r="N615" i="106" s="1"/>
  <c r="E615" i="106"/>
  <c r="D615" i="106"/>
  <c r="L615" i="106" s="1"/>
  <c r="H614" i="106"/>
  <c r="G614" i="106"/>
  <c r="N614" i="106" s="1"/>
  <c r="D614" i="106"/>
  <c r="L614" i="106" s="1"/>
  <c r="F613" i="106"/>
  <c r="E613" i="106"/>
  <c r="M613" i="106" s="1"/>
  <c r="H612" i="106"/>
  <c r="G612" i="106"/>
  <c r="N612" i="106" s="1"/>
  <c r="D612" i="106"/>
  <c r="L612" i="106" s="1"/>
  <c r="F611" i="106"/>
  <c r="B611" i="106"/>
  <c r="H610" i="106"/>
  <c r="G610" i="106"/>
  <c r="N610" i="106" s="1"/>
  <c r="D610" i="106"/>
  <c r="L610" i="106" s="1"/>
  <c r="I609" i="106"/>
  <c r="F609" i="106"/>
  <c r="B609" i="106"/>
  <c r="L608" i="106"/>
  <c r="H608" i="106"/>
  <c r="G608" i="106"/>
  <c r="N608" i="106" s="1"/>
  <c r="D608" i="106"/>
  <c r="F607" i="106"/>
  <c r="H606" i="106"/>
  <c r="G606" i="106"/>
  <c r="N606" i="106" s="1"/>
  <c r="D606" i="106"/>
  <c r="L606" i="106" s="1"/>
  <c r="I605" i="106"/>
  <c r="F605" i="106"/>
  <c r="B605" i="106"/>
  <c r="H604" i="106"/>
  <c r="G604" i="106"/>
  <c r="N604" i="106" s="1"/>
  <c r="D604" i="106"/>
  <c r="L604" i="106" s="1"/>
  <c r="N603" i="106"/>
  <c r="N611" i="106" s="1"/>
  <c r="I607" i="106"/>
  <c r="H613" i="106"/>
  <c r="G613" i="106"/>
  <c r="N613" i="106" s="1"/>
  <c r="E607" i="106"/>
  <c r="M607" i="106" s="1"/>
  <c r="D611" i="106"/>
  <c r="B613" i="106"/>
  <c r="H602" i="106"/>
  <c r="G602" i="106"/>
  <c r="N602" i="106" s="1"/>
  <c r="D602" i="106"/>
  <c r="L602" i="106" s="1"/>
  <c r="J601" i="106"/>
  <c r="I601" i="106"/>
  <c r="H601" i="106"/>
  <c r="F601" i="106"/>
  <c r="E601" i="106"/>
  <c r="D601" i="106"/>
  <c r="L601" i="106" s="1"/>
  <c r="B601" i="106"/>
  <c r="L600" i="106"/>
  <c r="H600" i="106"/>
  <c r="G600" i="106"/>
  <c r="N600" i="106" s="1"/>
  <c r="D600" i="106"/>
  <c r="J599" i="106"/>
  <c r="H599" i="106"/>
  <c r="G599" i="106"/>
  <c r="N599" i="106" s="1"/>
  <c r="F599" i="106"/>
  <c r="D599" i="106"/>
  <c r="L599" i="106" s="1"/>
  <c r="B599" i="106"/>
  <c r="H598" i="106"/>
  <c r="G598" i="106"/>
  <c r="N598" i="106" s="1"/>
  <c r="E598" i="106"/>
  <c r="D598" i="106"/>
  <c r="L598" i="106" s="1"/>
  <c r="I597" i="106"/>
  <c r="H597" i="106"/>
  <c r="F597" i="106"/>
  <c r="D597" i="106"/>
  <c r="L597" i="106" s="1"/>
  <c r="I596" i="106"/>
  <c r="H596" i="106"/>
  <c r="G596" i="106"/>
  <c r="N596" i="106" s="1"/>
  <c r="D596" i="106"/>
  <c r="L596" i="106" s="1"/>
  <c r="G595" i="106"/>
  <c r="N595" i="106" s="1"/>
  <c r="F595" i="106"/>
  <c r="H594" i="106"/>
  <c r="G594" i="106"/>
  <c r="N594" i="106" s="1"/>
  <c r="D594" i="106"/>
  <c r="L594" i="106" s="1"/>
  <c r="N593" i="106"/>
  <c r="I593" i="106"/>
  <c r="B593" i="106"/>
  <c r="I592" i="106"/>
  <c r="O592" i="106" s="1"/>
  <c r="H592" i="106"/>
  <c r="G592" i="106"/>
  <c r="N592" i="106" s="1"/>
  <c r="D592" i="106"/>
  <c r="L592" i="106" s="1"/>
  <c r="C592" i="106"/>
  <c r="G591" i="106"/>
  <c r="N591" i="106" s="1"/>
  <c r="F591" i="106"/>
  <c r="E591" i="106"/>
  <c r="M591" i="106" s="1"/>
  <c r="H590" i="106"/>
  <c r="G590" i="106"/>
  <c r="N590" i="106" s="1"/>
  <c r="E590" i="106"/>
  <c r="D590" i="106"/>
  <c r="L590" i="106" s="1"/>
  <c r="I589" i="106"/>
  <c r="F589" i="106"/>
  <c r="M589" i="106" s="1"/>
  <c r="E589" i="106"/>
  <c r="B589" i="106"/>
  <c r="I588" i="106"/>
  <c r="H588" i="106"/>
  <c r="O588" i="106" s="1"/>
  <c r="G588" i="106"/>
  <c r="N588" i="106" s="1"/>
  <c r="D588" i="106"/>
  <c r="L588" i="106" s="1"/>
  <c r="I587" i="106"/>
  <c r="G587" i="106"/>
  <c r="N587" i="106" s="1"/>
  <c r="E587" i="106"/>
  <c r="M587" i="106" s="1"/>
  <c r="H586" i="106"/>
  <c r="G586" i="106"/>
  <c r="N586" i="106" s="1"/>
  <c r="E586" i="106"/>
  <c r="D586" i="106"/>
  <c r="L586" i="106" s="1"/>
  <c r="N585" i="106"/>
  <c r="M585" i="106"/>
  <c r="M593" i="106" s="1"/>
  <c r="H593" i="106"/>
  <c r="G593" i="106"/>
  <c r="F587" i="106"/>
  <c r="E583" i="106"/>
  <c r="D595" i="106"/>
  <c r="L595" i="106" s="1"/>
  <c r="I584" i="106"/>
  <c r="H584" i="106"/>
  <c r="G584" i="106"/>
  <c r="N584" i="106" s="1"/>
  <c r="D584" i="106"/>
  <c r="L584" i="106" s="1"/>
  <c r="I583" i="106"/>
  <c r="O583" i="106" s="1"/>
  <c r="H583" i="106"/>
  <c r="G583" i="106"/>
  <c r="N583" i="106" s="1"/>
  <c r="F583" i="106"/>
  <c r="D583" i="106"/>
  <c r="L583" i="106" s="1"/>
  <c r="H582" i="106"/>
  <c r="G582" i="106"/>
  <c r="N582" i="106" s="1"/>
  <c r="E582" i="106"/>
  <c r="D582" i="106"/>
  <c r="L582" i="106" s="1"/>
  <c r="M581" i="106"/>
  <c r="I581" i="106"/>
  <c r="H581" i="106"/>
  <c r="O581" i="106" s="1"/>
  <c r="G581" i="106"/>
  <c r="N581" i="106" s="1"/>
  <c r="F581" i="106"/>
  <c r="E581" i="106"/>
  <c r="D581" i="106"/>
  <c r="L581" i="106" s="1"/>
  <c r="B581" i="106"/>
  <c r="I580" i="106"/>
  <c r="H580" i="106"/>
  <c r="O580" i="106" s="1"/>
  <c r="G580" i="106"/>
  <c r="N580" i="106" s="1"/>
  <c r="D580" i="106"/>
  <c r="L580" i="106" s="1"/>
  <c r="I579" i="106"/>
  <c r="O579" i="106" s="1"/>
  <c r="H579" i="106"/>
  <c r="G579" i="106"/>
  <c r="N579" i="106" s="1"/>
  <c r="F579" i="106"/>
  <c r="D579" i="106"/>
  <c r="L579" i="106" s="1"/>
  <c r="H578" i="106"/>
  <c r="G578" i="106"/>
  <c r="N578" i="106" s="1"/>
  <c r="E578" i="106"/>
  <c r="D578" i="106"/>
  <c r="L578" i="106" s="1"/>
  <c r="E577" i="106"/>
  <c r="H576" i="106"/>
  <c r="G576" i="106"/>
  <c r="N576" i="106" s="1"/>
  <c r="D576" i="106"/>
  <c r="L576" i="106" s="1"/>
  <c r="G575" i="106"/>
  <c r="E575" i="106"/>
  <c r="H574" i="106"/>
  <c r="E574" i="106"/>
  <c r="D574" i="106"/>
  <c r="L574" i="106" s="1"/>
  <c r="E573" i="106"/>
  <c r="H572" i="106"/>
  <c r="D572" i="106"/>
  <c r="L572" i="106" s="1"/>
  <c r="F571" i="106"/>
  <c r="E571" i="106"/>
  <c r="H570" i="106"/>
  <c r="E570" i="106"/>
  <c r="D570" i="106"/>
  <c r="L570" i="106" s="1"/>
  <c r="I569" i="106"/>
  <c r="F569" i="106"/>
  <c r="H568" i="106"/>
  <c r="D568" i="106"/>
  <c r="L568" i="106" s="1"/>
  <c r="H577" i="106"/>
  <c r="E569" i="106"/>
  <c r="D575" i="106"/>
  <c r="B560" i="106"/>
  <c r="L566" i="106"/>
  <c r="H566" i="106"/>
  <c r="E566" i="106"/>
  <c r="D566" i="106"/>
  <c r="H565" i="106"/>
  <c r="F565" i="106"/>
  <c r="E565" i="106"/>
  <c r="M565" i="106" s="1"/>
  <c r="D565" i="106"/>
  <c r="L565" i="106" s="1"/>
  <c r="I564" i="106"/>
  <c r="H564" i="106"/>
  <c r="F564" i="106"/>
  <c r="E564" i="106"/>
  <c r="D564" i="106"/>
  <c r="L564" i="106" s="1"/>
  <c r="B564" i="106"/>
  <c r="J564" i="106" s="1"/>
  <c r="H563" i="106"/>
  <c r="F563" i="106"/>
  <c r="E563" i="106"/>
  <c r="M563" i="106" s="1"/>
  <c r="D563" i="106"/>
  <c r="L563" i="106" s="1"/>
  <c r="H562" i="106"/>
  <c r="F562" i="106"/>
  <c r="E562" i="106"/>
  <c r="D562" i="106"/>
  <c r="L562" i="106" s="1"/>
  <c r="H561" i="106"/>
  <c r="G561" i="106"/>
  <c r="N561" i="106" s="1"/>
  <c r="E561" i="106"/>
  <c r="D561" i="106"/>
  <c r="L561" i="106" s="1"/>
  <c r="J560" i="106"/>
  <c r="I560" i="106"/>
  <c r="H560" i="106"/>
  <c r="F560" i="106"/>
  <c r="E560" i="106"/>
  <c r="D560" i="106"/>
  <c r="L560" i="106" s="1"/>
  <c r="I559" i="106"/>
  <c r="G559" i="106"/>
  <c r="N559" i="106" s="1"/>
  <c r="F559" i="106"/>
  <c r="D559" i="106"/>
  <c r="L559" i="106" s="1"/>
  <c r="I558" i="106"/>
  <c r="F558" i="106"/>
  <c r="E558" i="106"/>
  <c r="M558" i="106" s="1"/>
  <c r="D558" i="106"/>
  <c r="L558" i="106" s="1"/>
  <c r="G557" i="106"/>
  <c r="D557" i="106"/>
  <c r="I556" i="106"/>
  <c r="H556" i="106"/>
  <c r="O556" i="106" s="1"/>
  <c r="F556" i="106"/>
  <c r="M556" i="106" s="1"/>
  <c r="E556" i="106"/>
  <c r="I555" i="106"/>
  <c r="F555" i="106"/>
  <c r="I554" i="106"/>
  <c r="F554" i="106"/>
  <c r="E554" i="106"/>
  <c r="M554" i="106" s="1"/>
  <c r="I552" i="106"/>
  <c r="F552" i="106"/>
  <c r="E552" i="106"/>
  <c r="M552" i="106" s="1"/>
  <c r="I551" i="106"/>
  <c r="G551" i="106"/>
  <c r="N551" i="106" s="1"/>
  <c r="F551" i="106"/>
  <c r="D551" i="106"/>
  <c r="L551" i="106" s="1"/>
  <c r="I550" i="106"/>
  <c r="F550" i="106"/>
  <c r="E550" i="106"/>
  <c r="M550" i="106" s="1"/>
  <c r="D550" i="106"/>
  <c r="L550" i="106" s="1"/>
  <c r="I557" i="106"/>
  <c r="F557" i="106"/>
  <c r="E557" i="106"/>
  <c r="D554" i="106"/>
  <c r="L554" i="106" s="1"/>
  <c r="B553" i="106"/>
  <c r="I548" i="106"/>
  <c r="F548" i="106"/>
  <c r="E548" i="106"/>
  <c r="M548" i="106" s="1"/>
  <c r="B548" i="106"/>
  <c r="J548" i="106" s="1"/>
  <c r="I547" i="106"/>
  <c r="F547" i="106"/>
  <c r="I546" i="106"/>
  <c r="F546" i="106"/>
  <c r="E546" i="106"/>
  <c r="M546" i="106" s="1"/>
  <c r="D546" i="106"/>
  <c r="L546" i="106" s="1"/>
  <c r="I545" i="106"/>
  <c r="G545" i="106"/>
  <c r="N545" i="106" s="1"/>
  <c r="F545" i="106"/>
  <c r="E545" i="106"/>
  <c r="M545" i="106" s="1"/>
  <c r="D545" i="106"/>
  <c r="L545" i="106" s="1"/>
  <c r="I544" i="106"/>
  <c r="F544" i="106"/>
  <c r="E544" i="106"/>
  <c r="L543" i="106"/>
  <c r="I543" i="106"/>
  <c r="F543" i="106"/>
  <c r="D543" i="106"/>
  <c r="I542" i="106"/>
  <c r="F542" i="106"/>
  <c r="E542" i="106"/>
  <c r="D542" i="106"/>
  <c r="L542" i="106" s="1"/>
  <c r="B542" i="106"/>
  <c r="G541" i="106"/>
  <c r="N541" i="106" s="1"/>
  <c r="E541" i="106"/>
  <c r="D541" i="106"/>
  <c r="L541" i="106" s="1"/>
  <c r="B541" i="106"/>
  <c r="J541" i="106" s="1"/>
  <c r="I540" i="106"/>
  <c r="F540" i="106"/>
  <c r="E540" i="106"/>
  <c r="B540" i="106"/>
  <c r="J540" i="106" s="1"/>
  <c r="G539" i="106"/>
  <c r="F539" i="106"/>
  <c r="I538" i="106"/>
  <c r="F538" i="106"/>
  <c r="E538" i="106"/>
  <c r="B538" i="106"/>
  <c r="J538" i="106" s="1"/>
  <c r="J537" i="106"/>
  <c r="E537" i="106"/>
  <c r="B537" i="106"/>
  <c r="I536" i="106"/>
  <c r="F536" i="106"/>
  <c r="E536" i="106"/>
  <c r="M536" i="106" s="1"/>
  <c r="B536" i="106"/>
  <c r="J536" i="106" s="1"/>
  <c r="D535" i="106"/>
  <c r="L535" i="106" s="1"/>
  <c r="I534" i="106"/>
  <c r="E534" i="106"/>
  <c r="B534" i="106"/>
  <c r="J533" i="106"/>
  <c r="G533" i="106"/>
  <c r="N533" i="106" s="1"/>
  <c r="E533" i="106"/>
  <c r="D533" i="106"/>
  <c r="L533" i="106" s="1"/>
  <c r="B533" i="106"/>
  <c r="I532" i="106"/>
  <c r="F532" i="106"/>
  <c r="E532" i="106"/>
  <c r="B532" i="106"/>
  <c r="J532" i="106" s="1"/>
  <c r="I539" i="106"/>
  <c r="F535" i="106"/>
  <c r="E539" i="106"/>
  <c r="L531" i="106"/>
  <c r="L539" i="106" s="1"/>
  <c r="B539" i="106"/>
  <c r="M530" i="106"/>
  <c r="I530" i="106"/>
  <c r="F530" i="106"/>
  <c r="E530" i="106"/>
  <c r="D530" i="106"/>
  <c r="L530" i="106" s="1"/>
  <c r="B530" i="106"/>
  <c r="E529" i="106"/>
  <c r="B529" i="106"/>
  <c r="I528" i="106"/>
  <c r="F528" i="106"/>
  <c r="E528" i="106"/>
  <c r="B528" i="106"/>
  <c r="J528" i="106" s="1"/>
  <c r="I527" i="106"/>
  <c r="F527" i="106"/>
  <c r="E527" i="106"/>
  <c r="B527" i="106"/>
  <c r="J527" i="106" s="1"/>
  <c r="I526" i="106"/>
  <c r="G526" i="106"/>
  <c r="N526" i="106" s="1"/>
  <c r="F526" i="106"/>
  <c r="E526" i="106"/>
  <c r="M526" i="106" s="1"/>
  <c r="D526" i="106"/>
  <c r="L526" i="106" s="1"/>
  <c r="B526" i="106"/>
  <c r="J526" i="106" s="1"/>
  <c r="H525" i="106"/>
  <c r="G525" i="106"/>
  <c r="N525" i="106" s="1"/>
  <c r="E525" i="106"/>
  <c r="B525" i="106"/>
  <c r="I524" i="106"/>
  <c r="F524" i="106"/>
  <c r="E524" i="106"/>
  <c r="B524" i="106"/>
  <c r="I523" i="106"/>
  <c r="F523" i="106"/>
  <c r="D523" i="106"/>
  <c r="L523" i="106" s="1"/>
  <c r="I522" i="106"/>
  <c r="F522" i="106"/>
  <c r="B522" i="106"/>
  <c r="J522" i="106" s="1"/>
  <c r="E521" i="106"/>
  <c r="B521" i="106"/>
  <c r="I520" i="106"/>
  <c r="F520" i="106"/>
  <c r="E520" i="106"/>
  <c r="B520" i="106"/>
  <c r="I519" i="106"/>
  <c r="F519" i="106"/>
  <c r="M518" i="106"/>
  <c r="I518" i="106"/>
  <c r="F518" i="106"/>
  <c r="E518" i="106"/>
  <c r="B518" i="106"/>
  <c r="H517" i="106"/>
  <c r="E517" i="106"/>
  <c r="B517" i="106"/>
  <c r="I516" i="106"/>
  <c r="F516" i="106"/>
  <c r="E516" i="106"/>
  <c r="B516" i="106"/>
  <c r="J516" i="106" s="1"/>
  <c r="I515" i="106"/>
  <c r="H515" i="106"/>
  <c r="F515" i="106"/>
  <c r="D515" i="106"/>
  <c r="L515" i="106" s="1"/>
  <c r="I514" i="106"/>
  <c r="F514" i="106"/>
  <c r="E514" i="106"/>
  <c r="B514" i="106"/>
  <c r="O513" i="106"/>
  <c r="O521" i="106" s="1"/>
  <c r="I521" i="106"/>
  <c r="F521" i="106"/>
  <c r="D521" i="106"/>
  <c r="J512" i="106"/>
  <c r="I512" i="106"/>
  <c r="H512" i="106"/>
  <c r="F512" i="106"/>
  <c r="E512" i="106"/>
  <c r="C512" i="106"/>
  <c r="K512" i="106" s="1"/>
  <c r="B512" i="106"/>
  <c r="I511" i="106"/>
  <c r="F511" i="106"/>
  <c r="D511" i="106"/>
  <c r="L511" i="106" s="1"/>
  <c r="I510" i="106"/>
  <c r="G510" i="106"/>
  <c r="N510" i="106" s="1"/>
  <c r="F510" i="106"/>
  <c r="E510" i="106"/>
  <c r="D510" i="106"/>
  <c r="L510" i="106" s="1"/>
  <c r="B510" i="106"/>
  <c r="J510" i="106" s="1"/>
  <c r="I509" i="106"/>
  <c r="H509" i="106"/>
  <c r="O509" i="106" s="1"/>
  <c r="F509" i="106"/>
  <c r="M509" i="106" s="1"/>
  <c r="E509" i="106"/>
  <c r="D509" i="106"/>
  <c r="L509" i="106" s="1"/>
  <c r="B509" i="106"/>
  <c r="J509" i="106" s="1"/>
  <c r="I508" i="106"/>
  <c r="H508" i="106"/>
  <c r="F508" i="106"/>
  <c r="E508" i="106"/>
  <c r="B508" i="106"/>
  <c r="J508" i="106" s="1"/>
  <c r="L507" i="106"/>
  <c r="I507" i="106"/>
  <c r="H507" i="106"/>
  <c r="F507" i="106"/>
  <c r="D507" i="106"/>
  <c r="I506" i="106"/>
  <c r="F506" i="106"/>
  <c r="E506" i="106"/>
  <c r="M506" i="106" s="1"/>
  <c r="D506" i="106"/>
  <c r="L506" i="106" s="1"/>
  <c r="B506" i="106"/>
  <c r="H505" i="106"/>
  <c r="D505" i="106"/>
  <c r="L505" i="106" s="1"/>
  <c r="I504" i="106"/>
  <c r="H504" i="106"/>
  <c r="D503" i="106"/>
  <c r="G502" i="106"/>
  <c r="N502" i="106" s="1"/>
  <c r="F502" i="106"/>
  <c r="E502" i="106"/>
  <c r="D502" i="106"/>
  <c r="L502" i="106" s="1"/>
  <c r="H501" i="106"/>
  <c r="G501" i="106"/>
  <c r="N501" i="106" s="1"/>
  <c r="I500" i="106"/>
  <c r="G500" i="106"/>
  <c r="N500" i="106" s="1"/>
  <c r="F500" i="106"/>
  <c r="D500" i="106"/>
  <c r="L500" i="106" s="1"/>
  <c r="I498" i="106"/>
  <c r="H498" i="106"/>
  <c r="F498" i="106"/>
  <c r="C498" i="106"/>
  <c r="I497" i="106"/>
  <c r="G497" i="106"/>
  <c r="N497" i="106" s="1"/>
  <c r="F497" i="106"/>
  <c r="I496" i="106"/>
  <c r="G496" i="106"/>
  <c r="N496" i="106" s="1"/>
  <c r="F496" i="106"/>
  <c r="D496" i="106"/>
  <c r="L496" i="106" s="1"/>
  <c r="O495" i="106"/>
  <c r="O503" i="106" s="1"/>
  <c r="I502" i="106"/>
  <c r="H502" i="106"/>
  <c r="G504" i="106"/>
  <c r="N504" i="106" s="1"/>
  <c r="E500" i="106"/>
  <c r="M500" i="106" s="1"/>
  <c r="D504" i="106"/>
  <c r="L504" i="106" s="1"/>
  <c r="I494" i="106"/>
  <c r="H494" i="106"/>
  <c r="O494" i="106" s="1"/>
  <c r="F494" i="106"/>
  <c r="N493" i="106"/>
  <c r="I493" i="106"/>
  <c r="H493" i="106"/>
  <c r="G493" i="106"/>
  <c r="F493" i="106"/>
  <c r="D493" i="106"/>
  <c r="L493" i="106" s="1"/>
  <c r="I492" i="106"/>
  <c r="G492" i="106"/>
  <c r="N492" i="106" s="1"/>
  <c r="F492" i="106"/>
  <c r="D492" i="106"/>
  <c r="L492" i="106" s="1"/>
  <c r="O491" i="106"/>
  <c r="I491" i="106"/>
  <c r="H491" i="106"/>
  <c r="G491" i="106"/>
  <c r="N491" i="106" s="1"/>
  <c r="F491" i="106"/>
  <c r="E491" i="106"/>
  <c r="D491" i="106"/>
  <c r="L491" i="106" s="1"/>
  <c r="B491" i="106"/>
  <c r="I490" i="106"/>
  <c r="H490" i="106"/>
  <c r="F490" i="106"/>
  <c r="C490" i="106"/>
  <c r="I489" i="106"/>
  <c r="O489" i="106" s="1"/>
  <c r="H489" i="106"/>
  <c r="G489" i="106"/>
  <c r="N489" i="106" s="1"/>
  <c r="F489" i="106"/>
  <c r="D489" i="106"/>
  <c r="L489" i="106" s="1"/>
  <c r="I488" i="106"/>
  <c r="G488" i="106"/>
  <c r="N488" i="106" s="1"/>
  <c r="F488" i="106"/>
  <c r="D488" i="106"/>
  <c r="L488" i="106" s="1"/>
  <c r="J487" i="106"/>
  <c r="E487" i="106"/>
  <c r="B487" i="106"/>
  <c r="I486" i="106"/>
  <c r="H486" i="106"/>
  <c r="E486" i="106"/>
  <c r="B486" i="106"/>
  <c r="J486" i="106" s="1"/>
  <c r="G485" i="106"/>
  <c r="L484" i="106"/>
  <c r="E484" i="106"/>
  <c r="D484" i="106"/>
  <c r="B484" i="106"/>
  <c r="E483" i="106"/>
  <c r="B483" i="106"/>
  <c r="J483" i="106" s="1"/>
  <c r="I482" i="106"/>
  <c r="H482" i="106"/>
  <c r="E482" i="106"/>
  <c r="C482" i="106"/>
  <c r="K482" i="106" s="1"/>
  <c r="B482" i="106"/>
  <c r="J482" i="106" s="1"/>
  <c r="G481" i="106"/>
  <c r="N481" i="106" s="1"/>
  <c r="F481" i="106"/>
  <c r="L480" i="106"/>
  <c r="E480" i="106"/>
  <c r="D480" i="106"/>
  <c r="B480" i="106"/>
  <c r="J479" i="106"/>
  <c r="E479" i="106"/>
  <c r="B479" i="106"/>
  <c r="I478" i="106"/>
  <c r="H478" i="106"/>
  <c r="E478" i="106"/>
  <c r="B478" i="106"/>
  <c r="J478" i="106" s="1"/>
  <c r="O477" i="106"/>
  <c r="O485" i="106" s="1"/>
  <c r="H487" i="106"/>
  <c r="G476" i="106"/>
  <c r="N476" i="106" s="1"/>
  <c r="E485" i="106"/>
  <c r="D485" i="106"/>
  <c r="B485" i="106"/>
  <c r="E476" i="106"/>
  <c r="D476" i="106"/>
  <c r="L476" i="106" s="1"/>
  <c r="B476" i="106"/>
  <c r="H475" i="106"/>
  <c r="E475" i="106"/>
  <c r="D475" i="106"/>
  <c r="L475" i="106" s="1"/>
  <c r="B475" i="106"/>
  <c r="I474" i="106"/>
  <c r="H474" i="106"/>
  <c r="O474" i="106" s="1"/>
  <c r="E474" i="106"/>
  <c r="B474" i="106"/>
  <c r="J474" i="106" s="1"/>
  <c r="I473" i="106"/>
  <c r="O473" i="106" s="1"/>
  <c r="H473" i="106"/>
  <c r="G473" i="106"/>
  <c r="N473" i="106" s="1"/>
  <c r="F473" i="106"/>
  <c r="E473" i="106"/>
  <c r="M473" i="106" s="1"/>
  <c r="D473" i="106"/>
  <c r="L473" i="106" s="1"/>
  <c r="B473" i="106"/>
  <c r="J473" i="106" s="1"/>
  <c r="I472" i="106"/>
  <c r="G472" i="106"/>
  <c r="N472" i="106" s="1"/>
  <c r="E472" i="106"/>
  <c r="D472" i="106"/>
  <c r="L472" i="106" s="1"/>
  <c r="B472" i="106"/>
  <c r="H471" i="106"/>
  <c r="G471" i="106"/>
  <c r="N471" i="106" s="1"/>
  <c r="E471" i="106"/>
  <c r="D471" i="106"/>
  <c r="L471" i="106" s="1"/>
  <c r="B471" i="106"/>
  <c r="I470" i="106"/>
  <c r="H470" i="106"/>
  <c r="E470" i="106"/>
  <c r="B470" i="106"/>
  <c r="J470" i="106" s="1"/>
  <c r="I469" i="106"/>
  <c r="G469" i="106"/>
  <c r="N469" i="106" s="1"/>
  <c r="F469" i="106"/>
  <c r="I468" i="106"/>
  <c r="F468" i="106"/>
  <c r="E467" i="106"/>
  <c r="I466" i="106"/>
  <c r="H466" i="106"/>
  <c r="F466" i="106"/>
  <c r="E466" i="106"/>
  <c r="M466" i="106" s="1"/>
  <c r="I465" i="106"/>
  <c r="F465" i="106"/>
  <c r="I464" i="106"/>
  <c r="F464" i="106"/>
  <c r="D464" i="106"/>
  <c r="L464" i="106" s="1"/>
  <c r="B463" i="106"/>
  <c r="I462" i="106"/>
  <c r="H462" i="106"/>
  <c r="F462" i="106"/>
  <c r="I461" i="106"/>
  <c r="G461" i="106"/>
  <c r="N461" i="106" s="1"/>
  <c r="F461" i="106"/>
  <c r="I460" i="106"/>
  <c r="F460" i="106"/>
  <c r="O459" i="106"/>
  <c r="O467" i="106" s="1"/>
  <c r="M459" i="106"/>
  <c r="M467" i="106" s="1"/>
  <c r="I467" i="106"/>
  <c r="H467" i="106"/>
  <c r="G465" i="106"/>
  <c r="N465" i="106" s="1"/>
  <c r="F467" i="106"/>
  <c r="E468" i="106"/>
  <c r="M468" i="106" s="1"/>
  <c r="I458" i="106"/>
  <c r="H458" i="106"/>
  <c r="O458" i="106" s="1"/>
  <c r="F458" i="106"/>
  <c r="B458" i="106"/>
  <c r="I457" i="106"/>
  <c r="O457" i="106" s="1"/>
  <c r="H457" i="106"/>
  <c r="F457" i="106"/>
  <c r="N456" i="106"/>
  <c r="I456" i="106"/>
  <c r="G456" i="106"/>
  <c r="F456" i="106"/>
  <c r="E456" i="106"/>
  <c r="M456" i="106" s="1"/>
  <c r="D456" i="106"/>
  <c r="L456" i="106" s="1"/>
  <c r="B456" i="106"/>
  <c r="I455" i="106"/>
  <c r="H455" i="106"/>
  <c r="O455" i="106" s="1"/>
  <c r="G455" i="106"/>
  <c r="N455" i="106" s="1"/>
  <c r="F455" i="106"/>
  <c r="B455" i="106"/>
  <c r="I454" i="106"/>
  <c r="H454" i="106"/>
  <c r="F454" i="106"/>
  <c r="C454" i="106"/>
  <c r="B454" i="106"/>
  <c r="O453" i="106"/>
  <c r="I453" i="106"/>
  <c r="H453" i="106"/>
  <c r="G453" i="106"/>
  <c r="N453" i="106" s="1"/>
  <c r="F453" i="106"/>
  <c r="J452" i="106"/>
  <c r="I452" i="106"/>
  <c r="G452" i="106"/>
  <c r="N452" i="106" s="1"/>
  <c r="F452" i="106"/>
  <c r="B452" i="106"/>
  <c r="G451" i="106"/>
  <c r="N451" i="106" s="1"/>
  <c r="B451" i="106"/>
  <c r="F450" i="106"/>
  <c r="E450" i="106"/>
  <c r="G448" i="106"/>
  <c r="N448" i="106" s="1"/>
  <c r="F448" i="106"/>
  <c r="N447" i="106"/>
  <c r="G447" i="106"/>
  <c r="F447" i="106"/>
  <c r="E447" i="106"/>
  <c r="M447" i="106" s="1"/>
  <c r="G446" i="106"/>
  <c r="N446" i="106" s="1"/>
  <c r="F446" i="106"/>
  <c r="I445" i="106"/>
  <c r="G444" i="106"/>
  <c r="N444" i="106" s="1"/>
  <c r="F444" i="106"/>
  <c r="C444" i="106"/>
  <c r="N443" i="106"/>
  <c r="M443" i="106"/>
  <c r="G443" i="106"/>
  <c r="F443" i="106"/>
  <c r="E443" i="106"/>
  <c r="D443" i="106"/>
  <c r="L443" i="106" s="1"/>
  <c r="G442" i="106"/>
  <c r="N442" i="106" s="1"/>
  <c r="F442" i="106"/>
  <c r="D442" i="106"/>
  <c r="L442" i="106" s="1"/>
  <c r="G450" i="106"/>
  <c r="N450" i="106" s="1"/>
  <c r="F451" i="106"/>
  <c r="E448" i="106"/>
  <c r="M448" i="106" s="1"/>
  <c r="D450" i="106"/>
  <c r="L450" i="106" s="1"/>
  <c r="B450" i="106"/>
  <c r="H440" i="106"/>
  <c r="G440" i="106"/>
  <c r="N440" i="106" s="1"/>
  <c r="F440" i="106"/>
  <c r="N439" i="106"/>
  <c r="G439" i="106"/>
  <c r="F439" i="106"/>
  <c r="M439" i="106" s="1"/>
  <c r="E439" i="106"/>
  <c r="D439" i="106"/>
  <c r="L439" i="106" s="1"/>
  <c r="G438" i="106"/>
  <c r="N438" i="106" s="1"/>
  <c r="F438" i="106"/>
  <c r="D438" i="106"/>
  <c r="L438" i="106" s="1"/>
  <c r="B438" i="106"/>
  <c r="J438" i="106" s="1"/>
  <c r="H437" i="106"/>
  <c r="G437" i="106"/>
  <c r="N437" i="106" s="1"/>
  <c r="F437" i="106"/>
  <c r="E437" i="106"/>
  <c r="D437" i="106"/>
  <c r="L437" i="106" s="1"/>
  <c r="B437" i="106"/>
  <c r="H436" i="106"/>
  <c r="G436" i="106"/>
  <c r="N436" i="106" s="1"/>
  <c r="F436" i="106"/>
  <c r="B436" i="106"/>
  <c r="J436" i="106" s="1"/>
  <c r="N435" i="106"/>
  <c r="H435" i="106"/>
  <c r="G435" i="106"/>
  <c r="F435" i="106"/>
  <c r="M435" i="106" s="1"/>
  <c r="E435" i="106"/>
  <c r="D435" i="106"/>
  <c r="L435" i="106" s="1"/>
  <c r="G434" i="106"/>
  <c r="N434" i="106" s="1"/>
  <c r="F434" i="106"/>
  <c r="D434" i="106"/>
  <c r="L434" i="106" s="1"/>
  <c r="B434" i="106"/>
  <c r="J434" i="106" s="1"/>
  <c r="B433" i="106"/>
  <c r="G432" i="106"/>
  <c r="N432" i="106" s="1"/>
  <c r="G430" i="106"/>
  <c r="N430" i="106" s="1"/>
  <c r="B430" i="106"/>
  <c r="J430" i="106" s="1"/>
  <c r="B429" i="106"/>
  <c r="G428" i="106"/>
  <c r="N428" i="106" s="1"/>
  <c r="B428" i="106"/>
  <c r="J428" i="106" s="1"/>
  <c r="G426" i="106"/>
  <c r="N426" i="106" s="1"/>
  <c r="B426" i="106"/>
  <c r="J426" i="106" s="1"/>
  <c r="H425" i="106"/>
  <c r="B425" i="106"/>
  <c r="H424" i="106"/>
  <c r="G424" i="106"/>
  <c r="N424" i="106" s="1"/>
  <c r="B424" i="106"/>
  <c r="J424" i="106" s="1"/>
  <c r="N423" i="106"/>
  <c r="N431" i="106" s="1"/>
  <c r="I429" i="106"/>
  <c r="H430" i="106"/>
  <c r="G433" i="106"/>
  <c r="N433" i="106" s="1"/>
  <c r="F433" i="106"/>
  <c r="D432" i="106"/>
  <c r="L432" i="106" s="1"/>
  <c r="G422" i="106"/>
  <c r="N422" i="106" s="1"/>
  <c r="D422" i="106"/>
  <c r="L422" i="106" s="1"/>
  <c r="B422" i="106"/>
  <c r="J422" i="106" s="1"/>
  <c r="H421" i="106"/>
  <c r="B421" i="106"/>
  <c r="H420" i="106"/>
  <c r="G420" i="106"/>
  <c r="N420" i="106" s="1"/>
  <c r="F420" i="106"/>
  <c r="B420" i="106"/>
  <c r="J420" i="106" s="1"/>
  <c r="I419" i="106"/>
  <c r="H419" i="106"/>
  <c r="G419" i="106"/>
  <c r="N419" i="106" s="1"/>
  <c r="F419" i="106"/>
  <c r="D419" i="106"/>
  <c r="L419" i="106" s="1"/>
  <c r="B419" i="106"/>
  <c r="H418" i="106"/>
  <c r="G418" i="106"/>
  <c r="N418" i="106" s="1"/>
  <c r="F418" i="106"/>
  <c r="D418" i="106"/>
  <c r="L418" i="106" s="1"/>
  <c r="B418" i="106"/>
  <c r="J418" i="106" s="1"/>
  <c r="H417" i="106"/>
  <c r="G417" i="106"/>
  <c r="N417" i="106" s="1"/>
  <c r="D417" i="106"/>
  <c r="L417" i="106" s="1"/>
  <c r="B417" i="106"/>
  <c r="H416" i="106"/>
  <c r="G416" i="106"/>
  <c r="N416" i="106" s="1"/>
  <c r="F416" i="106"/>
  <c r="D416" i="106"/>
  <c r="L416" i="106" s="1"/>
  <c r="C416" i="106"/>
  <c r="K416" i="106" s="1"/>
  <c r="B416" i="106"/>
  <c r="J416" i="106" s="1"/>
  <c r="D414" i="106"/>
  <c r="L414" i="106" s="1"/>
  <c r="E413" i="106"/>
  <c r="H412" i="106"/>
  <c r="F411" i="106"/>
  <c r="M411" i="106" s="1"/>
  <c r="E411" i="106"/>
  <c r="D411" i="106"/>
  <c r="L411" i="106" s="1"/>
  <c r="F410" i="106"/>
  <c r="D410" i="106"/>
  <c r="L410" i="106" s="1"/>
  <c r="E408" i="106"/>
  <c r="D408" i="106"/>
  <c r="L408" i="106" s="1"/>
  <c r="E407" i="106"/>
  <c r="D407" i="106"/>
  <c r="L407" i="106" s="1"/>
  <c r="C407" i="106"/>
  <c r="I406" i="106"/>
  <c r="E406" i="106"/>
  <c r="D406" i="106"/>
  <c r="L406" i="106" s="1"/>
  <c r="O405" i="106"/>
  <c r="O413" i="106" s="1"/>
  <c r="H406" i="106"/>
  <c r="O406" i="106" s="1"/>
  <c r="G409" i="106"/>
  <c r="N409" i="106" s="1"/>
  <c r="E415" i="106"/>
  <c r="B406" i="106"/>
  <c r="H404" i="106"/>
  <c r="F404" i="106"/>
  <c r="E404" i="106"/>
  <c r="M404" i="106" s="1"/>
  <c r="D404" i="106"/>
  <c r="L404" i="106" s="1"/>
  <c r="F403" i="106"/>
  <c r="E403" i="106"/>
  <c r="M403" i="106" s="1"/>
  <c r="D403" i="106"/>
  <c r="L403" i="106" s="1"/>
  <c r="B403" i="106"/>
  <c r="J403" i="106" s="1"/>
  <c r="I402" i="106"/>
  <c r="H402" i="106"/>
  <c r="E402" i="106"/>
  <c r="D402" i="106"/>
  <c r="L402" i="106" s="1"/>
  <c r="C402" i="106"/>
  <c r="K402" i="106" s="1"/>
  <c r="B402" i="106"/>
  <c r="J402" i="106" s="1"/>
  <c r="O401" i="106"/>
  <c r="I401" i="106"/>
  <c r="H401" i="106"/>
  <c r="G401" i="106"/>
  <c r="N401" i="106" s="1"/>
  <c r="F401" i="106"/>
  <c r="E401" i="106"/>
  <c r="M401" i="106" s="1"/>
  <c r="D401" i="106"/>
  <c r="L401" i="106" s="1"/>
  <c r="B401" i="106"/>
  <c r="J401" i="106" s="1"/>
  <c r="I400" i="106"/>
  <c r="H400" i="106"/>
  <c r="O400" i="106" s="1"/>
  <c r="F400" i="106"/>
  <c r="E400" i="106"/>
  <c r="M400" i="106" s="1"/>
  <c r="D400" i="106"/>
  <c r="L400" i="106" s="1"/>
  <c r="H399" i="106"/>
  <c r="F399" i="106"/>
  <c r="E399" i="106"/>
  <c r="D399" i="106"/>
  <c r="L399" i="106" s="1"/>
  <c r="B399" i="106"/>
  <c r="I398" i="106"/>
  <c r="H398" i="106"/>
  <c r="O398" i="106" s="1"/>
  <c r="F398" i="106"/>
  <c r="E398" i="106"/>
  <c r="M398" i="106" s="1"/>
  <c r="D398" i="106"/>
  <c r="L398" i="106" s="1"/>
  <c r="B398" i="106"/>
  <c r="J398" i="106" s="1"/>
  <c r="I397" i="106"/>
  <c r="G397" i="106"/>
  <c r="N397" i="106" s="1"/>
  <c r="E396" i="106"/>
  <c r="I394" i="106"/>
  <c r="I393" i="106"/>
  <c r="G393" i="106"/>
  <c r="N393" i="106" s="1"/>
  <c r="E392" i="106"/>
  <c r="I390" i="106"/>
  <c r="I389" i="106"/>
  <c r="H389" i="106"/>
  <c r="O389" i="106" s="1"/>
  <c r="G389" i="106"/>
  <c r="N389" i="106" s="1"/>
  <c r="I388" i="106"/>
  <c r="H388" i="106"/>
  <c r="G388" i="106"/>
  <c r="N388" i="106" s="1"/>
  <c r="E388" i="106"/>
  <c r="O387" i="106"/>
  <c r="O395" i="106" s="1"/>
  <c r="I395" i="106"/>
  <c r="H395" i="106"/>
  <c r="G394" i="106"/>
  <c r="N394" i="106" s="1"/>
  <c r="F394" i="106"/>
  <c r="E397" i="106"/>
  <c r="D397" i="106"/>
  <c r="L397" i="106" s="1"/>
  <c r="B396" i="106"/>
  <c r="I386" i="106"/>
  <c r="H386" i="106"/>
  <c r="D386" i="106"/>
  <c r="L386" i="106" s="1"/>
  <c r="B386" i="106"/>
  <c r="J386" i="106" s="1"/>
  <c r="I385" i="106"/>
  <c r="H385" i="106"/>
  <c r="O385" i="106" s="1"/>
  <c r="G385" i="106"/>
  <c r="N385" i="106" s="1"/>
  <c r="F385" i="106"/>
  <c r="D385" i="106"/>
  <c r="L385" i="106" s="1"/>
  <c r="B385" i="106"/>
  <c r="J385" i="106" s="1"/>
  <c r="O384" i="106"/>
  <c r="I384" i="106"/>
  <c r="H384" i="106"/>
  <c r="G384" i="106"/>
  <c r="N384" i="106" s="1"/>
  <c r="F384" i="106"/>
  <c r="E384" i="106"/>
  <c r="D384" i="106"/>
  <c r="L384" i="106" s="1"/>
  <c r="B384" i="106"/>
  <c r="O383" i="106"/>
  <c r="I383" i="106"/>
  <c r="H383" i="106"/>
  <c r="G383" i="106"/>
  <c r="N383" i="106" s="1"/>
  <c r="F383" i="106"/>
  <c r="E383" i="106"/>
  <c r="D383" i="106"/>
  <c r="L383" i="106" s="1"/>
  <c r="B383" i="106"/>
  <c r="J383" i="106" s="1"/>
  <c r="I382" i="106"/>
  <c r="H382" i="106"/>
  <c r="G382" i="106"/>
  <c r="N382" i="106" s="1"/>
  <c r="F382" i="106"/>
  <c r="E382" i="106"/>
  <c r="M382" i="106" s="1"/>
  <c r="D382" i="106"/>
  <c r="L382" i="106" s="1"/>
  <c r="B382" i="106"/>
  <c r="J382" i="106" s="1"/>
  <c r="I381" i="106"/>
  <c r="O381" i="106" s="1"/>
  <c r="H381" i="106"/>
  <c r="G381" i="106"/>
  <c r="N381" i="106" s="1"/>
  <c r="F381" i="106"/>
  <c r="D381" i="106"/>
  <c r="L381" i="106" s="1"/>
  <c r="B381" i="106"/>
  <c r="J381" i="106" s="1"/>
  <c r="I380" i="106"/>
  <c r="H380" i="106"/>
  <c r="O380" i="106" s="1"/>
  <c r="G380" i="106"/>
  <c r="N380" i="106" s="1"/>
  <c r="F380" i="106"/>
  <c r="E380" i="106"/>
  <c r="D380" i="106"/>
  <c r="L380" i="106" s="1"/>
  <c r="B380" i="106"/>
  <c r="I378" i="106"/>
  <c r="G377" i="106"/>
  <c r="E376" i="106"/>
  <c r="I374" i="106"/>
  <c r="E372" i="106"/>
  <c r="E371" i="106"/>
  <c r="I370" i="106"/>
  <c r="C370" i="106"/>
  <c r="O369" i="106"/>
  <c r="O377" i="106" s="1"/>
  <c r="I379" i="106"/>
  <c r="H379" i="106"/>
  <c r="F378" i="106"/>
  <c r="E377" i="106"/>
  <c r="D377" i="106"/>
  <c r="B376" i="106"/>
  <c r="H368" i="106"/>
  <c r="F368" i="106"/>
  <c r="E368" i="106"/>
  <c r="M368" i="106" s="1"/>
  <c r="D368" i="106"/>
  <c r="L368" i="106" s="1"/>
  <c r="B368" i="106"/>
  <c r="H367" i="106"/>
  <c r="F367" i="106"/>
  <c r="E367" i="106"/>
  <c r="D367" i="106"/>
  <c r="L367" i="106" s="1"/>
  <c r="B367" i="106"/>
  <c r="J367" i="106" s="1"/>
  <c r="I366" i="106"/>
  <c r="H366" i="106"/>
  <c r="F366" i="106"/>
  <c r="E366" i="106"/>
  <c r="M366" i="106" s="1"/>
  <c r="D366" i="106"/>
  <c r="L366" i="106" s="1"/>
  <c r="B366" i="106"/>
  <c r="J366" i="106" s="1"/>
  <c r="I365" i="106"/>
  <c r="H365" i="106"/>
  <c r="O365" i="106" s="1"/>
  <c r="G365" i="106"/>
  <c r="N365" i="106" s="1"/>
  <c r="F365" i="106"/>
  <c r="E365" i="106"/>
  <c r="D365" i="106"/>
  <c r="L365" i="106" s="1"/>
  <c r="B365" i="106"/>
  <c r="I364" i="106"/>
  <c r="H364" i="106"/>
  <c r="O364" i="106" s="1"/>
  <c r="F364" i="106"/>
  <c r="M364" i="106" s="1"/>
  <c r="E364" i="106"/>
  <c r="D364" i="106"/>
  <c r="L364" i="106" s="1"/>
  <c r="B364" i="106"/>
  <c r="L363" i="106"/>
  <c r="I363" i="106"/>
  <c r="H363" i="106"/>
  <c r="O363" i="106" s="1"/>
  <c r="F363" i="106"/>
  <c r="E363" i="106"/>
  <c r="D363" i="106"/>
  <c r="B363" i="106"/>
  <c r="I362" i="106"/>
  <c r="H362" i="106"/>
  <c r="F362" i="106"/>
  <c r="E362" i="106"/>
  <c r="M362" i="106" s="1"/>
  <c r="D362" i="106"/>
  <c r="L362" i="106" s="1"/>
  <c r="B362" i="106"/>
  <c r="H361" i="106"/>
  <c r="G361" i="106"/>
  <c r="N361" i="106" s="1"/>
  <c r="F360" i="106"/>
  <c r="M360" i="106" s="1"/>
  <c r="E360" i="106"/>
  <c r="L359" i="106"/>
  <c r="D359" i="106"/>
  <c r="I358" i="106"/>
  <c r="B358" i="106"/>
  <c r="H357" i="106"/>
  <c r="G357" i="106"/>
  <c r="N357" i="106" s="1"/>
  <c r="F356" i="106"/>
  <c r="E356" i="106"/>
  <c r="M356" i="106" s="1"/>
  <c r="D355" i="106"/>
  <c r="L355" i="106" s="1"/>
  <c r="I354" i="106"/>
  <c r="B354" i="106"/>
  <c r="J354" i="106" s="1"/>
  <c r="H353" i="106"/>
  <c r="G353" i="106"/>
  <c r="N353" i="106" s="1"/>
  <c r="M352" i="106"/>
  <c r="F352" i="106"/>
  <c r="E352" i="106"/>
  <c r="I359" i="106"/>
  <c r="H359" i="106"/>
  <c r="G358" i="106"/>
  <c r="N358" i="106" s="1"/>
  <c r="F358" i="106"/>
  <c r="E361" i="106"/>
  <c r="L351" i="106"/>
  <c r="B360" i="106"/>
  <c r="I350" i="106"/>
  <c r="H350" i="106"/>
  <c r="G350" i="106"/>
  <c r="N350" i="106" s="1"/>
  <c r="F350" i="106"/>
  <c r="E350" i="106"/>
  <c r="M350" i="106" s="1"/>
  <c r="B350" i="106"/>
  <c r="J350" i="106" s="1"/>
  <c r="I349" i="106"/>
  <c r="H349" i="106"/>
  <c r="O349" i="106" s="1"/>
  <c r="G349" i="106"/>
  <c r="N349" i="106" s="1"/>
  <c r="F349" i="106"/>
  <c r="E349" i="106"/>
  <c r="B349" i="106"/>
  <c r="I348" i="106"/>
  <c r="H348" i="106"/>
  <c r="O348" i="106" s="1"/>
  <c r="G348" i="106"/>
  <c r="N348" i="106" s="1"/>
  <c r="F348" i="106"/>
  <c r="E348" i="106"/>
  <c r="B348" i="106"/>
  <c r="I347" i="106"/>
  <c r="H347" i="106"/>
  <c r="G347" i="106"/>
  <c r="N347" i="106" s="1"/>
  <c r="F347" i="106"/>
  <c r="E347" i="106"/>
  <c r="D347" i="106"/>
  <c r="L347" i="106" s="1"/>
  <c r="B347" i="106"/>
  <c r="J347" i="106" s="1"/>
  <c r="J346" i="106"/>
  <c r="I346" i="106"/>
  <c r="H346" i="106"/>
  <c r="O346" i="106" s="1"/>
  <c r="G346" i="106"/>
  <c r="N346" i="106" s="1"/>
  <c r="F346" i="106"/>
  <c r="E346" i="106"/>
  <c r="M346" i="106" s="1"/>
  <c r="B346" i="106"/>
  <c r="O345" i="106"/>
  <c r="I345" i="106"/>
  <c r="H345" i="106"/>
  <c r="G345" i="106"/>
  <c r="N345" i="106" s="1"/>
  <c r="F345" i="106"/>
  <c r="E345" i="106"/>
  <c r="B345" i="106"/>
  <c r="I344" i="106"/>
  <c r="H344" i="106"/>
  <c r="G344" i="106"/>
  <c r="N344" i="106" s="1"/>
  <c r="F344" i="106"/>
  <c r="E344" i="106"/>
  <c r="B344" i="106"/>
  <c r="D343" i="106"/>
  <c r="L343" i="106" s="1"/>
  <c r="J342" i="106"/>
  <c r="I342" i="106"/>
  <c r="B342" i="106"/>
  <c r="G341" i="106"/>
  <c r="F340" i="106"/>
  <c r="E340" i="106"/>
  <c r="L339" i="106"/>
  <c r="D339" i="106"/>
  <c r="I338" i="106"/>
  <c r="B338" i="106"/>
  <c r="F336" i="106"/>
  <c r="E336" i="106"/>
  <c r="D335" i="106"/>
  <c r="L335" i="106" s="1"/>
  <c r="I334" i="106"/>
  <c r="B334" i="106"/>
  <c r="I343" i="106"/>
  <c r="F342" i="106"/>
  <c r="E341" i="106"/>
  <c r="D341" i="106"/>
  <c r="B340" i="106"/>
  <c r="M332" i="106"/>
  <c r="I332" i="106"/>
  <c r="F332" i="106"/>
  <c r="E332" i="106"/>
  <c r="D332" i="106"/>
  <c r="L332" i="106" s="1"/>
  <c r="B332" i="106"/>
  <c r="I331" i="106"/>
  <c r="F331" i="106"/>
  <c r="E331" i="106"/>
  <c r="M331" i="106" s="1"/>
  <c r="D331" i="106"/>
  <c r="L331" i="106" s="1"/>
  <c r="B331" i="106"/>
  <c r="J331" i="106" s="1"/>
  <c r="I330" i="106"/>
  <c r="F330" i="106"/>
  <c r="E330" i="106"/>
  <c r="M330" i="106" s="1"/>
  <c r="D330" i="106"/>
  <c r="L330" i="106" s="1"/>
  <c r="C330" i="106"/>
  <c r="B330" i="106"/>
  <c r="I329" i="106"/>
  <c r="G329" i="106"/>
  <c r="N329" i="106" s="1"/>
  <c r="F329" i="106"/>
  <c r="E329" i="106"/>
  <c r="D329" i="106"/>
  <c r="L329" i="106" s="1"/>
  <c r="B329" i="106"/>
  <c r="I328" i="106"/>
  <c r="F328" i="106"/>
  <c r="E328" i="106"/>
  <c r="M328" i="106" s="1"/>
  <c r="D328" i="106"/>
  <c r="L328" i="106" s="1"/>
  <c r="B328" i="106"/>
  <c r="L327" i="106"/>
  <c r="I327" i="106"/>
  <c r="F327" i="106"/>
  <c r="E327" i="106"/>
  <c r="M327" i="106" s="1"/>
  <c r="D327" i="106"/>
  <c r="B327" i="106"/>
  <c r="J327" i="106" s="1"/>
  <c r="J326" i="106"/>
  <c r="I326" i="106"/>
  <c r="F326" i="106"/>
  <c r="E326" i="106"/>
  <c r="D326" i="106"/>
  <c r="L326" i="106" s="1"/>
  <c r="B326" i="106"/>
  <c r="H325" i="106"/>
  <c r="G325" i="106"/>
  <c r="N325" i="106" s="1"/>
  <c r="F324" i="106"/>
  <c r="E324" i="106"/>
  <c r="M324" i="106" s="1"/>
  <c r="J322" i="106"/>
  <c r="I322" i="106"/>
  <c r="B322" i="106"/>
  <c r="H321" i="106"/>
  <c r="G321" i="106"/>
  <c r="N321" i="106" s="1"/>
  <c r="F320" i="106"/>
  <c r="E320" i="106"/>
  <c r="M320" i="106" s="1"/>
  <c r="J318" i="106"/>
  <c r="I318" i="106"/>
  <c r="B318" i="106"/>
  <c r="H317" i="106"/>
  <c r="G317" i="106"/>
  <c r="N317" i="106" s="1"/>
  <c r="F316" i="106"/>
  <c r="E316" i="106"/>
  <c r="I323" i="106"/>
  <c r="H323" i="106"/>
  <c r="G322" i="106"/>
  <c r="N322" i="106" s="1"/>
  <c r="F322" i="106"/>
  <c r="E325" i="106"/>
  <c r="D311" i="106"/>
  <c r="L311" i="106" s="1"/>
  <c r="B324" i="106"/>
  <c r="I314" i="106"/>
  <c r="H314" i="106"/>
  <c r="G314" i="106"/>
  <c r="N314" i="106" s="1"/>
  <c r="F314" i="106"/>
  <c r="E314" i="106"/>
  <c r="M314" i="106" s="1"/>
  <c r="B314" i="106"/>
  <c r="I313" i="106"/>
  <c r="H313" i="106"/>
  <c r="O313" i="106" s="1"/>
  <c r="G313" i="106"/>
  <c r="N313" i="106" s="1"/>
  <c r="F313" i="106"/>
  <c r="E313" i="106"/>
  <c r="B313" i="106"/>
  <c r="I312" i="106"/>
  <c r="H312" i="106"/>
  <c r="G312" i="106"/>
  <c r="N312" i="106" s="1"/>
  <c r="F312" i="106"/>
  <c r="E312" i="106"/>
  <c r="M312" i="106" s="1"/>
  <c r="B312" i="106"/>
  <c r="I311" i="106"/>
  <c r="H311" i="106"/>
  <c r="O311" i="106" s="1"/>
  <c r="G311" i="106"/>
  <c r="N311" i="106" s="1"/>
  <c r="F311" i="106"/>
  <c r="E311" i="106"/>
  <c r="M311" i="106" s="1"/>
  <c r="B311" i="106"/>
  <c r="J311" i="106" s="1"/>
  <c r="I310" i="106"/>
  <c r="O310" i="106" s="1"/>
  <c r="H310" i="106"/>
  <c r="G310" i="106"/>
  <c r="N310" i="106" s="1"/>
  <c r="F310" i="106"/>
  <c r="E310" i="106"/>
  <c r="B310" i="106"/>
  <c r="I309" i="106"/>
  <c r="H309" i="106"/>
  <c r="O309" i="106" s="1"/>
  <c r="G309" i="106"/>
  <c r="N309" i="106" s="1"/>
  <c r="F309" i="106"/>
  <c r="E309" i="106"/>
  <c r="M309" i="106" s="1"/>
  <c r="B309" i="106"/>
  <c r="I308" i="106"/>
  <c r="H308" i="106"/>
  <c r="G308" i="106"/>
  <c r="N308" i="106" s="1"/>
  <c r="F308" i="106"/>
  <c r="E308" i="106"/>
  <c r="B308" i="106"/>
  <c r="H305" i="106"/>
  <c r="F304" i="106"/>
  <c r="L303" i="106"/>
  <c r="I302" i="106"/>
  <c r="H301" i="106"/>
  <c r="G301" i="106"/>
  <c r="N301" i="106" s="1"/>
  <c r="G299" i="106"/>
  <c r="N299" i="106" s="1"/>
  <c r="F299" i="106"/>
  <c r="L298" i="106"/>
  <c r="H298" i="106"/>
  <c r="G298" i="106"/>
  <c r="N298" i="106" s="1"/>
  <c r="E298" i="106"/>
  <c r="M298" i="106" s="1"/>
  <c r="D298" i="106"/>
  <c r="N297" i="106"/>
  <c r="N305" i="106" s="1"/>
  <c r="O297" i="106"/>
  <c r="O305" i="106" s="1"/>
  <c r="F298" i="106"/>
  <c r="E304" i="106"/>
  <c r="M304" i="106" s="1"/>
  <c r="D303" i="106"/>
  <c r="I296" i="106"/>
  <c r="H296" i="106"/>
  <c r="G296" i="106"/>
  <c r="N296" i="106" s="1"/>
  <c r="D296" i="106"/>
  <c r="L296" i="106" s="1"/>
  <c r="I295" i="106"/>
  <c r="H295" i="106"/>
  <c r="O295" i="106" s="1"/>
  <c r="G295" i="106"/>
  <c r="N295" i="106" s="1"/>
  <c r="F295" i="106"/>
  <c r="H294" i="106"/>
  <c r="G294" i="106"/>
  <c r="N294" i="106" s="1"/>
  <c r="E294" i="106"/>
  <c r="D294" i="106"/>
  <c r="L294" i="106" s="1"/>
  <c r="N293" i="106"/>
  <c r="I293" i="106"/>
  <c r="H293" i="106"/>
  <c r="O293" i="106" s="1"/>
  <c r="G293" i="106"/>
  <c r="F293" i="106"/>
  <c r="E293" i="106"/>
  <c r="D293" i="106"/>
  <c r="L293" i="106" s="1"/>
  <c r="B293" i="106"/>
  <c r="I292" i="106"/>
  <c r="H292" i="106"/>
  <c r="G292" i="106"/>
  <c r="N292" i="106" s="1"/>
  <c r="D292" i="106"/>
  <c r="L292" i="106" s="1"/>
  <c r="O291" i="106"/>
  <c r="I291" i="106"/>
  <c r="H291" i="106"/>
  <c r="G291" i="106"/>
  <c r="N291" i="106" s="1"/>
  <c r="F291" i="106"/>
  <c r="H290" i="106"/>
  <c r="G290" i="106"/>
  <c r="N290" i="106" s="1"/>
  <c r="E290" i="106"/>
  <c r="D290" i="106"/>
  <c r="L290" i="106" s="1"/>
  <c r="E289" i="106"/>
  <c r="B289" i="106"/>
  <c r="I288" i="106"/>
  <c r="H288" i="106"/>
  <c r="D288" i="106"/>
  <c r="L288" i="106" s="1"/>
  <c r="H286" i="106"/>
  <c r="E286" i="106"/>
  <c r="D286" i="106"/>
  <c r="L286" i="106" s="1"/>
  <c r="E285" i="106"/>
  <c r="B285" i="106"/>
  <c r="J285" i="106" s="1"/>
  <c r="I284" i="106"/>
  <c r="H284" i="106"/>
  <c r="D284" i="106"/>
  <c r="L284" i="106" s="1"/>
  <c r="N283" i="106"/>
  <c r="G283" i="106"/>
  <c r="L282" i="106"/>
  <c r="H282" i="106"/>
  <c r="E282" i="106"/>
  <c r="D282" i="106"/>
  <c r="E281" i="106"/>
  <c r="D281" i="106"/>
  <c r="L281" i="106" s="1"/>
  <c r="B281" i="106"/>
  <c r="J281" i="106" s="1"/>
  <c r="I280" i="106"/>
  <c r="H280" i="106"/>
  <c r="D280" i="106"/>
  <c r="L280" i="106" s="1"/>
  <c r="O279" i="106"/>
  <c r="O287" i="106" s="1"/>
  <c r="N279" i="106"/>
  <c r="N287" i="106" s="1"/>
  <c r="I286" i="106"/>
  <c r="O286" i="106" s="1"/>
  <c r="H289" i="106"/>
  <c r="F283" i="106"/>
  <c r="E288" i="106"/>
  <c r="D287" i="106"/>
  <c r="B286" i="106"/>
  <c r="H278" i="106"/>
  <c r="E278" i="106"/>
  <c r="D278" i="106"/>
  <c r="L278" i="106" s="1"/>
  <c r="E277" i="106"/>
  <c r="D277" i="106"/>
  <c r="L277" i="106" s="1"/>
  <c r="B277" i="106"/>
  <c r="I276" i="106"/>
  <c r="H276" i="106"/>
  <c r="E276" i="106"/>
  <c r="D276" i="106"/>
  <c r="L276" i="106" s="1"/>
  <c r="O275" i="106"/>
  <c r="I275" i="106"/>
  <c r="H275" i="106"/>
  <c r="G275" i="106"/>
  <c r="N275" i="106" s="1"/>
  <c r="F275" i="106"/>
  <c r="E275" i="106"/>
  <c r="D275" i="106"/>
  <c r="L275" i="106" s="1"/>
  <c r="B275" i="106"/>
  <c r="H274" i="106"/>
  <c r="E274" i="106"/>
  <c r="D274" i="106"/>
  <c r="L274" i="106" s="1"/>
  <c r="H273" i="106"/>
  <c r="E273" i="106"/>
  <c r="D273" i="106"/>
  <c r="L273" i="106" s="1"/>
  <c r="C273" i="106"/>
  <c r="B273" i="106"/>
  <c r="I272" i="106"/>
  <c r="H272" i="106"/>
  <c r="E272" i="106"/>
  <c r="D272" i="106"/>
  <c r="L272" i="106" s="1"/>
  <c r="I271" i="106"/>
  <c r="G271" i="106"/>
  <c r="N271" i="106" s="1"/>
  <c r="F271" i="106"/>
  <c r="H270" i="106"/>
  <c r="G270" i="106"/>
  <c r="N270" i="106" s="1"/>
  <c r="E270" i="106"/>
  <c r="D270" i="106"/>
  <c r="L270" i="106" s="1"/>
  <c r="I268" i="106"/>
  <c r="H268" i="106"/>
  <c r="D268" i="106"/>
  <c r="L268" i="106" s="1"/>
  <c r="N267" i="106"/>
  <c r="I267" i="106"/>
  <c r="G267" i="106"/>
  <c r="F267" i="106"/>
  <c r="H266" i="106"/>
  <c r="G266" i="106"/>
  <c r="N266" i="106" s="1"/>
  <c r="E266" i="106"/>
  <c r="D266" i="106"/>
  <c r="L266" i="106" s="1"/>
  <c r="I264" i="106"/>
  <c r="H264" i="106"/>
  <c r="D264" i="106"/>
  <c r="L264" i="106" s="1"/>
  <c r="I263" i="106"/>
  <c r="G263" i="106"/>
  <c r="N263" i="106" s="1"/>
  <c r="F263" i="106"/>
  <c r="H262" i="106"/>
  <c r="G262" i="106"/>
  <c r="N262" i="106" s="1"/>
  <c r="E262" i="106"/>
  <c r="D262" i="106"/>
  <c r="L262" i="106" s="1"/>
  <c r="N261" i="106"/>
  <c r="N269" i="106" s="1"/>
  <c r="I270" i="106"/>
  <c r="O270" i="106" s="1"/>
  <c r="H269" i="106"/>
  <c r="G269" i="106"/>
  <c r="F268" i="106"/>
  <c r="E268" i="106"/>
  <c r="D271" i="106"/>
  <c r="L271" i="106" s="1"/>
  <c r="I260" i="106"/>
  <c r="H260" i="106"/>
  <c r="G260" i="106"/>
  <c r="N260" i="106" s="1"/>
  <c r="D260" i="106"/>
  <c r="L260" i="106" s="1"/>
  <c r="I259" i="106"/>
  <c r="H259" i="106"/>
  <c r="O259" i="106" s="1"/>
  <c r="G259" i="106"/>
  <c r="N259" i="106" s="1"/>
  <c r="F259" i="106"/>
  <c r="D259" i="106"/>
  <c r="L259" i="106" s="1"/>
  <c r="L258" i="106"/>
  <c r="I258" i="106"/>
  <c r="H258" i="106"/>
  <c r="O258" i="106" s="1"/>
  <c r="G258" i="106"/>
  <c r="N258" i="106" s="1"/>
  <c r="E258" i="106"/>
  <c r="D258" i="106"/>
  <c r="I257" i="106"/>
  <c r="H257" i="106"/>
  <c r="O257" i="106" s="1"/>
  <c r="G257" i="106"/>
  <c r="N257" i="106" s="1"/>
  <c r="F257" i="106"/>
  <c r="E257" i="106"/>
  <c r="D257" i="106"/>
  <c r="L257" i="106" s="1"/>
  <c r="I256" i="106"/>
  <c r="H256" i="106"/>
  <c r="O256" i="106" s="1"/>
  <c r="G256" i="106"/>
  <c r="N256" i="106" s="1"/>
  <c r="D256" i="106"/>
  <c r="L256" i="106" s="1"/>
  <c r="I255" i="106"/>
  <c r="H255" i="106"/>
  <c r="O255" i="106" s="1"/>
  <c r="G255" i="106"/>
  <c r="N255" i="106" s="1"/>
  <c r="F255" i="106"/>
  <c r="D255" i="106"/>
  <c r="L255" i="106" s="1"/>
  <c r="O254" i="106"/>
  <c r="I254" i="106"/>
  <c r="H254" i="106"/>
  <c r="G254" i="106"/>
  <c r="N254" i="106" s="1"/>
  <c r="E254" i="106"/>
  <c r="D254" i="106"/>
  <c r="L254" i="106" s="1"/>
  <c r="E253" i="106"/>
  <c r="B253" i="106"/>
  <c r="I252" i="106"/>
  <c r="H252" i="106"/>
  <c r="O252" i="106" s="1"/>
  <c r="D252" i="106"/>
  <c r="L252" i="106" s="1"/>
  <c r="G251" i="106"/>
  <c r="F251" i="106"/>
  <c r="L250" i="106"/>
  <c r="H250" i="106"/>
  <c r="E250" i="106"/>
  <c r="D250" i="106"/>
  <c r="E249" i="106"/>
  <c r="B249" i="106"/>
  <c r="I248" i="106"/>
  <c r="H248" i="106"/>
  <c r="D248" i="106"/>
  <c r="L248" i="106" s="1"/>
  <c r="F247" i="106"/>
  <c r="H246" i="106"/>
  <c r="E246" i="106"/>
  <c r="D246" i="106"/>
  <c r="L246" i="106" s="1"/>
  <c r="E245" i="106"/>
  <c r="B245" i="106"/>
  <c r="J245" i="106" s="1"/>
  <c r="I244" i="106"/>
  <c r="H244" i="106"/>
  <c r="D244" i="106"/>
  <c r="L244" i="106" s="1"/>
  <c r="O243" i="106"/>
  <c r="O251" i="106" s="1"/>
  <c r="N243" i="106"/>
  <c r="N251" i="106" s="1"/>
  <c r="I250" i="106"/>
  <c r="O250" i="106" s="1"/>
  <c r="H253" i="106"/>
  <c r="G247" i="106"/>
  <c r="N247" i="106" s="1"/>
  <c r="E252" i="106"/>
  <c r="D251" i="106"/>
  <c r="B250" i="106"/>
  <c r="H242" i="106"/>
  <c r="E242" i="106"/>
  <c r="D242" i="106"/>
  <c r="L242" i="106" s="1"/>
  <c r="J241" i="106"/>
  <c r="H241" i="106"/>
  <c r="E241" i="106"/>
  <c r="D241" i="106"/>
  <c r="L241" i="106" s="1"/>
  <c r="C241" i="106"/>
  <c r="B241" i="106"/>
  <c r="I240" i="106"/>
  <c r="H240" i="106"/>
  <c r="E240" i="106"/>
  <c r="D240" i="106"/>
  <c r="L240" i="106" s="1"/>
  <c r="I239" i="106"/>
  <c r="H239" i="106"/>
  <c r="O239" i="106" s="1"/>
  <c r="F239" i="106"/>
  <c r="E239" i="106"/>
  <c r="D239" i="106"/>
  <c r="L239" i="106" s="1"/>
  <c r="B239" i="106"/>
  <c r="H238" i="106"/>
  <c r="E238" i="106"/>
  <c r="D238" i="106"/>
  <c r="L238" i="106" s="1"/>
  <c r="H237" i="106"/>
  <c r="E237" i="106"/>
  <c r="D237" i="106"/>
  <c r="L237" i="106" s="1"/>
  <c r="B237" i="106"/>
  <c r="I236" i="106"/>
  <c r="H236" i="106"/>
  <c r="O236" i="106" s="1"/>
  <c r="E236" i="106"/>
  <c r="D236" i="106"/>
  <c r="L236" i="106" s="1"/>
  <c r="I235" i="106"/>
  <c r="G235" i="106"/>
  <c r="N235" i="106" s="1"/>
  <c r="F235" i="106"/>
  <c r="L234" i="106"/>
  <c r="H234" i="106"/>
  <c r="G234" i="106"/>
  <c r="N234" i="106" s="1"/>
  <c r="D234" i="106"/>
  <c r="E233" i="106"/>
  <c r="I232" i="106"/>
  <c r="H232" i="106"/>
  <c r="O232" i="106" s="1"/>
  <c r="D232" i="106"/>
  <c r="L232" i="106" s="1"/>
  <c r="I231" i="106"/>
  <c r="G231" i="106"/>
  <c r="N231" i="106" s="1"/>
  <c r="F231" i="106"/>
  <c r="H230" i="106"/>
  <c r="G230" i="106"/>
  <c r="N230" i="106" s="1"/>
  <c r="D230" i="106"/>
  <c r="L230" i="106" s="1"/>
  <c r="B229" i="106"/>
  <c r="I228" i="106"/>
  <c r="H228" i="106"/>
  <c r="D228" i="106"/>
  <c r="L228" i="106" s="1"/>
  <c r="I227" i="106"/>
  <c r="G227" i="106"/>
  <c r="N227" i="106" s="1"/>
  <c r="F227" i="106"/>
  <c r="L226" i="106"/>
  <c r="H226" i="106"/>
  <c r="G226" i="106"/>
  <c r="N226" i="106" s="1"/>
  <c r="E226" i="106"/>
  <c r="D226" i="106"/>
  <c r="N225" i="106"/>
  <c r="N233" i="106" s="1"/>
  <c r="I234" i="106"/>
  <c r="O234" i="106" s="1"/>
  <c r="H233" i="106"/>
  <c r="G233" i="106"/>
  <c r="F232" i="106"/>
  <c r="M225" i="106"/>
  <c r="M233" i="106" s="1"/>
  <c r="D235" i="106"/>
  <c r="L235" i="106" s="1"/>
  <c r="B221" i="106"/>
  <c r="I224" i="106"/>
  <c r="H224" i="106"/>
  <c r="G224" i="106"/>
  <c r="N224" i="106" s="1"/>
  <c r="D224" i="106"/>
  <c r="L224" i="106" s="1"/>
  <c r="O223" i="106"/>
  <c r="I223" i="106"/>
  <c r="H223" i="106"/>
  <c r="G223" i="106"/>
  <c r="N223" i="106" s="1"/>
  <c r="F223" i="106"/>
  <c r="D223" i="106"/>
  <c r="L223" i="106" s="1"/>
  <c r="I222" i="106"/>
  <c r="O222" i="106" s="1"/>
  <c r="H222" i="106"/>
  <c r="G222" i="106"/>
  <c r="N222" i="106" s="1"/>
  <c r="D222" i="106"/>
  <c r="L222" i="106" s="1"/>
  <c r="N221" i="106"/>
  <c r="I221" i="106"/>
  <c r="H221" i="106"/>
  <c r="O221" i="106" s="1"/>
  <c r="G221" i="106"/>
  <c r="F221" i="106"/>
  <c r="D221" i="106"/>
  <c r="L221" i="106" s="1"/>
  <c r="I220" i="106"/>
  <c r="H220" i="106"/>
  <c r="G220" i="106"/>
  <c r="N220" i="106" s="1"/>
  <c r="D220" i="106"/>
  <c r="L220" i="106" s="1"/>
  <c r="I219" i="106"/>
  <c r="O219" i="106" s="1"/>
  <c r="H219" i="106"/>
  <c r="G219" i="106"/>
  <c r="N219" i="106" s="1"/>
  <c r="F219" i="106"/>
  <c r="D219" i="106"/>
  <c r="L219" i="106" s="1"/>
  <c r="L218" i="106"/>
  <c r="I218" i="106"/>
  <c r="H218" i="106"/>
  <c r="O218" i="106" s="1"/>
  <c r="G218" i="106"/>
  <c r="N218" i="106" s="1"/>
  <c r="E218" i="106"/>
  <c r="D218" i="106"/>
  <c r="E217" i="106"/>
  <c r="H216" i="106"/>
  <c r="D216" i="106"/>
  <c r="L216" i="106" s="1"/>
  <c r="F215" i="106"/>
  <c r="B215" i="106"/>
  <c r="H214" i="106"/>
  <c r="E214" i="106"/>
  <c r="D214" i="106"/>
  <c r="L214" i="106" s="1"/>
  <c r="E213" i="106"/>
  <c r="B213" i="106"/>
  <c r="J213" i="106" s="1"/>
  <c r="I212" i="106"/>
  <c r="H212" i="106"/>
  <c r="D212" i="106"/>
  <c r="L212" i="106" s="1"/>
  <c r="G211" i="106"/>
  <c r="N211" i="106" s="1"/>
  <c r="F211" i="106"/>
  <c r="H210" i="106"/>
  <c r="E210" i="106"/>
  <c r="D210" i="106"/>
  <c r="L210" i="106" s="1"/>
  <c r="E209" i="106"/>
  <c r="B209" i="106"/>
  <c r="H208" i="106"/>
  <c r="D208" i="106"/>
  <c r="L208" i="106" s="1"/>
  <c r="O207" i="106"/>
  <c r="O215" i="106" s="1"/>
  <c r="N207" i="106"/>
  <c r="N215" i="106" s="1"/>
  <c r="I216" i="106"/>
  <c r="H217" i="106"/>
  <c r="G210" i="106"/>
  <c r="N210" i="106" s="1"/>
  <c r="E216" i="106"/>
  <c r="D215" i="106"/>
  <c r="B205" i="106"/>
  <c r="H206" i="106"/>
  <c r="E206" i="106"/>
  <c r="D206" i="106"/>
  <c r="L206" i="106" s="1"/>
  <c r="H205" i="106"/>
  <c r="F205" i="106"/>
  <c r="E205" i="106"/>
  <c r="D205" i="106"/>
  <c r="L205" i="106" s="1"/>
  <c r="C205" i="106"/>
  <c r="H204" i="106"/>
  <c r="E204" i="106"/>
  <c r="D204" i="106"/>
  <c r="L204" i="106" s="1"/>
  <c r="H203" i="106"/>
  <c r="G203" i="106"/>
  <c r="N203" i="106" s="1"/>
  <c r="E203" i="106"/>
  <c r="D203" i="106"/>
  <c r="L203" i="106" s="1"/>
  <c r="B203" i="106"/>
  <c r="L202" i="106"/>
  <c r="H202" i="106"/>
  <c r="E202" i="106"/>
  <c r="D202" i="106"/>
  <c r="C202" i="106"/>
  <c r="H201" i="106"/>
  <c r="E201" i="106"/>
  <c r="D201" i="106"/>
  <c r="L201" i="106" s="1"/>
  <c r="B201" i="106"/>
  <c r="J201" i="106" s="1"/>
  <c r="I200" i="106"/>
  <c r="H200" i="106"/>
  <c r="E200" i="106"/>
  <c r="D200" i="106"/>
  <c r="L200" i="106" s="1"/>
  <c r="F199" i="106"/>
  <c r="E198" i="106"/>
  <c r="D198" i="106"/>
  <c r="L198" i="106" s="1"/>
  <c r="B198" i="106"/>
  <c r="H197" i="106"/>
  <c r="G197" i="106"/>
  <c r="I196" i="106"/>
  <c r="F196" i="106"/>
  <c r="E196" i="106"/>
  <c r="M196" i="106" s="1"/>
  <c r="I195" i="106"/>
  <c r="F195" i="106"/>
  <c r="D195" i="106"/>
  <c r="L195" i="106" s="1"/>
  <c r="I194" i="106"/>
  <c r="E194" i="106"/>
  <c r="D194" i="106"/>
  <c r="L194" i="106" s="1"/>
  <c r="B194" i="106"/>
  <c r="H193" i="106"/>
  <c r="G193" i="106"/>
  <c r="N193" i="106" s="1"/>
  <c r="I192" i="106"/>
  <c r="F192" i="106"/>
  <c r="M192" i="106" s="1"/>
  <c r="E192" i="106"/>
  <c r="L191" i="106"/>
  <c r="I191" i="106"/>
  <c r="F191" i="106"/>
  <c r="D191" i="106"/>
  <c r="I190" i="106"/>
  <c r="E190" i="106"/>
  <c r="D190" i="106"/>
  <c r="L190" i="106" s="1"/>
  <c r="B190" i="106"/>
  <c r="I198" i="106"/>
  <c r="O189" i="106"/>
  <c r="O197" i="106" s="1"/>
  <c r="G195" i="106"/>
  <c r="N195" i="106" s="1"/>
  <c r="F197" i="106"/>
  <c r="E199" i="106"/>
  <c r="D199" i="106"/>
  <c r="L199" i="106" s="1"/>
  <c r="B195" i="106"/>
  <c r="J195" i="106" s="1"/>
  <c r="I188" i="106"/>
  <c r="F188" i="106"/>
  <c r="E188" i="106"/>
  <c r="M188" i="106" s="1"/>
  <c r="D188" i="106"/>
  <c r="L188" i="106" s="1"/>
  <c r="I187" i="106"/>
  <c r="G187" i="106"/>
  <c r="N187" i="106" s="1"/>
  <c r="F187" i="106"/>
  <c r="D187" i="106"/>
  <c r="L187" i="106" s="1"/>
  <c r="I186" i="106"/>
  <c r="F186" i="106"/>
  <c r="E186" i="106"/>
  <c r="M186" i="106" s="1"/>
  <c r="D186" i="106"/>
  <c r="L186" i="106" s="1"/>
  <c r="B186" i="106"/>
  <c r="O185" i="106"/>
  <c r="I185" i="106"/>
  <c r="H185" i="106"/>
  <c r="G185" i="106"/>
  <c r="N185" i="106" s="1"/>
  <c r="F185" i="106"/>
  <c r="E185" i="106"/>
  <c r="M185" i="106" s="1"/>
  <c r="D185" i="106"/>
  <c r="L185" i="106" s="1"/>
  <c r="B185" i="106"/>
  <c r="J185" i="106" s="1"/>
  <c r="I184" i="106"/>
  <c r="F184" i="106"/>
  <c r="E184" i="106"/>
  <c r="M184" i="106" s="1"/>
  <c r="D184" i="106"/>
  <c r="L184" i="106" s="1"/>
  <c r="L183" i="106"/>
  <c r="I183" i="106"/>
  <c r="G183" i="106"/>
  <c r="N183" i="106" s="1"/>
  <c r="F183" i="106"/>
  <c r="E183" i="106"/>
  <c r="M183" i="106" s="1"/>
  <c r="D183" i="106"/>
  <c r="I182" i="106"/>
  <c r="F182" i="106"/>
  <c r="E182" i="106"/>
  <c r="D182" i="106"/>
  <c r="L182" i="106" s="1"/>
  <c r="B182" i="106"/>
  <c r="H181" i="106"/>
  <c r="G181" i="106"/>
  <c r="N181" i="106" s="1"/>
  <c r="B181" i="106"/>
  <c r="J181" i="106" s="1"/>
  <c r="I180" i="106"/>
  <c r="H180" i="106"/>
  <c r="F180" i="106"/>
  <c r="E180" i="106"/>
  <c r="M180" i="106" s="1"/>
  <c r="I178" i="106"/>
  <c r="E178" i="106"/>
  <c r="B178" i="106"/>
  <c r="J178" i="106" s="1"/>
  <c r="H177" i="106"/>
  <c r="B177" i="106"/>
  <c r="J177" i="106" s="1"/>
  <c r="I176" i="106"/>
  <c r="H176" i="106"/>
  <c r="F176" i="106"/>
  <c r="E176" i="106"/>
  <c r="M176" i="106" s="1"/>
  <c r="C175" i="106"/>
  <c r="I174" i="106"/>
  <c r="E174" i="106"/>
  <c r="B174" i="106"/>
  <c r="H173" i="106"/>
  <c r="E173" i="106"/>
  <c r="B173" i="106"/>
  <c r="J173" i="106" s="1"/>
  <c r="M172" i="106"/>
  <c r="I172" i="106"/>
  <c r="H172" i="106"/>
  <c r="O172" i="106" s="1"/>
  <c r="F172" i="106"/>
  <c r="E172" i="106"/>
  <c r="O171" i="106"/>
  <c r="O179" i="106" s="1"/>
  <c r="I179" i="106"/>
  <c r="H178" i="106"/>
  <c r="F181" i="106"/>
  <c r="E181" i="106"/>
  <c r="D179" i="106"/>
  <c r="B179" i="106"/>
  <c r="I170" i="106"/>
  <c r="O170" i="106" s="1"/>
  <c r="H170" i="106"/>
  <c r="E170" i="106"/>
  <c r="B170" i="106"/>
  <c r="H169" i="106"/>
  <c r="E169" i="106"/>
  <c r="B169" i="106"/>
  <c r="J169" i="106" s="1"/>
  <c r="I168" i="106"/>
  <c r="H168" i="106"/>
  <c r="F168" i="106"/>
  <c r="E168" i="106"/>
  <c r="M168" i="106" s="1"/>
  <c r="B168" i="106"/>
  <c r="J168" i="106" s="1"/>
  <c r="I167" i="106"/>
  <c r="H167" i="106"/>
  <c r="O167" i="106" s="1"/>
  <c r="F167" i="106"/>
  <c r="E167" i="106"/>
  <c r="B167" i="106"/>
  <c r="J167" i="106" s="1"/>
  <c r="J166" i="106"/>
  <c r="I166" i="106"/>
  <c r="H166" i="106"/>
  <c r="E166" i="106"/>
  <c r="B166" i="106"/>
  <c r="O165" i="106"/>
  <c r="I165" i="106"/>
  <c r="H165" i="106"/>
  <c r="E165" i="106"/>
  <c r="B165" i="106"/>
  <c r="J165" i="106" s="1"/>
  <c r="I164" i="106"/>
  <c r="H164" i="106"/>
  <c r="F164" i="106"/>
  <c r="E164" i="106"/>
  <c r="B164" i="106"/>
  <c r="J164" i="106" s="1"/>
  <c r="F163" i="106"/>
  <c r="D163" i="106"/>
  <c r="L163" i="106" s="1"/>
  <c r="I162" i="106"/>
  <c r="E162" i="106"/>
  <c r="D162" i="106"/>
  <c r="L162" i="106" s="1"/>
  <c r="B162" i="106"/>
  <c r="I160" i="106"/>
  <c r="F160" i="106"/>
  <c r="E160" i="106"/>
  <c r="M160" i="106" s="1"/>
  <c r="G159" i="106"/>
  <c r="N159" i="106" s="1"/>
  <c r="F159" i="106"/>
  <c r="D159" i="106"/>
  <c r="L159" i="106" s="1"/>
  <c r="I158" i="106"/>
  <c r="E158" i="106"/>
  <c r="D158" i="106"/>
  <c r="L158" i="106" s="1"/>
  <c r="B158" i="106"/>
  <c r="J158" i="106" s="1"/>
  <c r="M156" i="106"/>
  <c r="I156" i="106"/>
  <c r="F156" i="106"/>
  <c r="E156" i="106"/>
  <c r="G155" i="106"/>
  <c r="N155" i="106" s="1"/>
  <c r="F155" i="106"/>
  <c r="D155" i="106"/>
  <c r="L155" i="106" s="1"/>
  <c r="I154" i="106"/>
  <c r="E154" i="106"/>
  <c r="D154" i="106"/>
  <c r="L154" i="106" s="1"/>
  <c r="B154" i="106"/>
  <c r="J154" i="106" s="1"/>
  <c r="I163" i="106"/>
  <c r="F161" i="106"/>
  <c r="E161" i="106"/>
  <c r="D160" i="106"/>
  <c r="L160" i="106" s="1"/>
  <c r="B163" i="106"/>
  <c r="J163" i="106" s="1"/>
  <c r="I152" i="106"/>
  <c r="F152" i="106"/>
  <c r="E152" i="106"/>
  <c r="D152" i="106"/>
  <c r="L152" i="106" s="1"/>
  <c r="I151" i="106"/>
  <c r="G151" i="106"/>
  <c r="N151" i="106" s="1"/>
  <c r="F151" i="106"/>
  <c r="E151" i="106"/>
  <c r="D151" i="106"/>
  <c r="L151" i="106" s="1"/>
  <c r="I150" i="106"/>
  <c r="F150" i="106"/>
  <c r="E150" i="106"/>
  <c r="D150" i="106"/>
  <c r="L150" i="106" s="1"/>
  <c r="B150" i="106"/>
  <c r="J150" i="106" s="1"/>
  <c r="I149" i="106"/>
  <c r="H149" i="106"/>
  <c r="O149" i="106" s="1"/>
  <c r="G149" i="106"/>
  <c r="N149" i="106" s="1"/>
  <c r="F149" i="106"/>
  <c r="E149" i="106"/>
  <c r="D149" i="106"/>
  <c r="L149" i="106" s="1"/>
  <c r="B149" i="106"/>
  <c r="J149" i="106" s="1"/>
  <c r="I148" i="106"/>
  <c r="F148" i="106"/>
  <c r="E148" i="106"/>
  <c r="M148" i="106" s="1"/>
  <c r="D148" i="106"/>
  <c r="L148" i="106" s="1"/>
  <c r="I147" i="106"/>
  <c r="G147" i="106"/>
  <c r="N147" i="106" s="1"/>
  <c r="F147" i="106"/>
  <c r="E147" i="106"/>
  <c r="D147" i="106"/>
  <c r="L147" i="106" s="1"/>
  <c r="M146" i="106"/>
  <c r="I146" i="106"/>
  <c r="F146" i="106"/>
  <c r="E146" i="106"/>
  <c r="D146" i="106"/>
  <c r="L146" i="106" s="1"/>
  <c r="B146" i="106"/>
  <c r="J146" i="106" s="1"/>
  <c r="H145" i="106"/>
  <c r="G145" i="106"/>
  <c r="N145" i="106" s="1"/>
  <c r="B145" i="106"/>
  <c r="J145" i="106" s="1"/>
  <c r="I144" i="106"/>
  <c r="H144" i="106"/>
  <c r="O144" i="106" s="1"/>
  <c r="F144" i="106"/>
  <c r="E144" i="106"/>
  <c r="M144" i="106" s="1"/>
  <c r="D143" i="106"/>
  <c r="I142" i="106"/>
  <c r="E142" i="106"/>
  <c r="B142" i="106"/>
  <c r="J142" i="106" s="1"/>
  <c r="H141" i="106"/>
  <c r="B141" i="106"/>
  <c r="J141" i="106" s="1"/>
  <c r="I140" i="106"/>
  <c r="H140" i="106"/>
  <c r="F140" i="106"/>
  <c r="E140" i="106"/>
  <c r="M140" i="106" s="1"/>
  <c r="G139" i="106"/>
  <c r="N139" i="106" s="1"/>
  <c r="D139" i="106"/>
  <c r="L139" i="106" s="1"/>
  <c r="I138" i="106"/>
  <c r="E138" i="106"/>
  <c r="B138" i="106"/>
  <c r="J138" i="106" s="1"/>
  <c r="H137" i="106"/>
  <c r="B137" i="106"/>
  <c r="J137" i="106" s="1"/>
  <c r="I136" i="106"/>
  <c r="H136" i="106"/>
  <c r="F136" i="106"/>
  <c r="E136" i="106"/>
  <c r="M136" i="106" s="1"/>
  <c r="O135" i="106"/>
  <c r="O143" i="106" s="1"/>
  <c r="L135" i="106"/>
  <c r="L143" i="106" s="1"/>
  <c r="I143" i="106"/>
  <c r="H142" i="106"/>
  <c r="G137" i="106"/>
  <c r="N137" i="106" s="1"/>
  <c r="F145" i="106"/>
  <c r="E145" i="106"/>
  <c r="M145" i="106" s="1"/>
  <c r="B143" i="106"/>
  <c r="J134" i="106"/>
  <c r="I134" i="106"/>
  <c r="O134" i="106" s="1"/>
  <c r="H134" i="106"/>
  <c r="E134" i="106"/>
  <c r="B134" i="106"/>
  <c r="O133" i="106"/>
  <c r="I133" i="106"/>
  <c r="H133" i="106"/>
  <c r="G133" i="106"/>
  <c r="N133" i="106" s="1"/>
  <c r="E133" i="106"/>
  <c r="B133" i="106"/>
  <c r="J133" i="106" s="1"/>
  <c r="I132" i="106"/>
  <c r="H132" i="106"/>
  <c r="F132" i="106"/>
  <c r="M132" i="106" s="1"/>
  <c r="E132" i="106"/>
  <c r="B132" i="106"/>
  <c r="J132" i="106" s="1"/>
  <c r="L131" i="106"/>
  <c r="I131" i="106"/>
  <c r="H131" i="106"/>
  <c r="O131" i="106" s="1"/>
  <c r="G131" i="106"/>
  <c r="N131" i="106" s="1"/>
  <c r="F131" i="106"/>
  <c r="E131" i="106"/>
  <c r="D131" i="106"/>
  <c r="B131" i="106"/>
  <c r="J131" i="106" s="1"/>
  <c r="J130" i="106"/>
  <c r="I130" i="106"/>
  <c r="H130" i="106"/>
  <c r="E130" i="106"/>
  <c r="B130" i="106"/>
  <c r="I129" i="106"/>
  <c r="H129" i="106"/>
  <c r="O129" i="106" s="1"/>
  <c r="G129" i="106"/>
  <c r="N129" i="106" s="1"/>
  <c r="E129" i="106"/>
  <c r="B129" i="106"/>
  <c r="J129" i="106" s="1"/>
  <c r="I128" i="106"/>
  <c r="H128" i="106"/>
  <c r="F128" i="106"/>
  <c r="M128" i="106" s="1"/>
  <c r="E128" i="106"/>
  <c r="B128" i="106"/>
  <c r="J128" i="106" s="1"/>
  <c r="F127" i="106"/>
  <c r="D127" i="106"/>
  <c r="L127" i="106" s="1"/>
  <c r="I126" i="106"/>
  <c r="D126" i="106"/>
  <c r="L126" i="106" s="1"/>
  <c r="B126" i="106"/>
  <c r="H125" i="106"/>
  <c r="I124" i="106"/>
  <c r="F124" i="106"/>
  <c r="F123" i="106"/>
  <c r="D123" i="106"/>
  <c r="L123" i="106" s="1"/>
  <c r="E122" i="106"/>
  <c r="D122" i="106"/>
  <c r="L122" i="106" s="1"/>
  <c r="H121" i="106"/>
  <c r="F120" i="106"/>
  <c r="E120" i="106"/>
  <c r="F119" i="106"/>
  <c r="D119" i="106"/>
  <c r="L119" i="106" s="1"/>
  <c r="D118" i="106"/>
  <c r="L118" i="106" s="1"/>
  <c r="M117" i="106"/>
  <c r="M125" i="106" s="1"/>
  <c r="G118" i="106"/>
  <c r="N118" i="106" s="1"/>
  <c r="F125" i="106"/>
  <c r="E114" i="106"/>
  <c r="D124" i="106"/>
  <c r="L124" i="106" s="1"/>
  <c r="I116" i="106"/>
  <c r="H116" i="106"/>
  <c r="O116" i="106" s="1"/>
  <c r="F116" i="106"/>
  <c r="E116" i="106"/>
  <c r="D116" i="106"/>
  <c r="L116" i="106" s="1"/>
  <c r="I115" i="106"/>
  <c r="F115" i="106"/>
  <c r="E115" i="106"/>
  <c r="M115" i="106" s="1"/>
  <c r="D115" i="106"/>
  <c r="L115" i="106" s="1"/>
  <c r="M114" i="106"/>
  <c r="I114" i="106"/>
  <c r="F114" i="106"/>
  <c r="D114" i="106"/>
  <c r="L114" i="106" s="1"/>
  <c r="H113" i="106"/>
  <c r="F113" i="106"/>
  <c r="E113" i="106"/>
  <c r="D113" i="106"/>
  <c r="L113" i="106" s="1"/>
  <c r="I112" i="106"/>
  <c r="H112" i="106"/>
  <c r="F112" i="106"/>
  <c r="D112" i="106"/>
  <c r="L112" i="106" s="1"/>
  <c r="F111" i="106"/>
  <c r="D111" i="106"/>
  <c r="L111" i="106" s="1"/>
  <c r="G110" i="106"/>
  <c r="N110" i="106" s="1"/>
  <c r="F110" i="106"/>
  <c r="E110" i="106"/>
  <c r="M110" i="106" s="1"/>
  <c r="D110" i="106"/>
  <c r="L110" i="106" s="1"/>
  <c r="H109" i="106"/>
  <c r="E109" i="106"/>
  <c r="I108" i="106"/>
  <c r="H108" i="106"/>
  <c r="O108" i="106" s="1"/>
  <c r="F108" i="106"/>
  <c r="E108" i="106"/>
  <c r="I106" i="106"/>
  <c r="H106" i="106"/>
  <c r="E106" i="106"/>
  <c r="B106" i="106"/>
  <c r="H105" i="106"/>
  <c r="E105" i="106"/>
  <c r="I104" i="106"/>
  <c r="H104" i="106"/>
  <c r="O104" i="106" s="1"/>
  <c r="F104" i="106"/>
  <c r="E104" i="106"/>
  <c r="D103" i="106"/>
  <c r="L103" i="106" s="1"/>
  <c r="I102" i="106"/>
  <c r="O102" i="106" s="1"/>
  <c r="H102" i="106"/>
  <c r="E102" i="106"/>
  <c r="B102" i="106"/>
  <c r="J102" i="106" s="1"/>
  <c r="H101" i="106"/>
  <c r="E101" i="106"/>
  <c r="I100" i="106"/>
  <c r="H100" i="106"/>
  <c r="F100" i="106"/>
  <c r="E100" i="106"/>
  <c r="M100" i="106" s="1"/>
  <c r="O99" i="106"/>
  <c r="O107" i="106" s="1"/>
  <c r="I105" i="106"/>
  <c r="H107" i="106"/>
  <c r="F109" i="106"/>
  <c r="E107" i="106"/>
  <c r="L99" i="106"/>
  <c r="L107" i="106" s="1"/>
  <c r="B109" i="106"/>
  <c r="J109" i="106" s="1"/>
  <c r="I98" i="106"/>
  <c r="H98" i="106"/>
  <c r="E98" i="106"/>
  <c r="B98" i="106"/>
  <c r="J98" i="106" s="1"/>
  <c r="H97" i="106"/>
  <c r="F97" i="106"/>
  <c r="E97" i="106"/>
  <c r="M97" i="106" s="1"/>
  <c r="B97" i="106"/>
  <c r="J97" i="106" s="1"/>
  <c r="I96" i="106"/>
  <c r="H96" i="106"/>
  <c r="F96" i="106"/>
  <c r="E96" i="106"/>
  <c r="I95" i="106"/>
  <c r="H95" i="106"/>
  <c r="O95" i="106" s="1"/>
  <c r="F95" i="106"/>
  <c r="E95" i="106"/>
  <c r="M95" i="106" s="1"/>
  <c r="B95" i="106"/>
  <c r="J95" i="106" s="1"/>
  <c r="I94" i="106"/>
  <c r="O94" i="106" s="1"/>
  <c r="H94" i="106"/>
  <c r="E94" i="106"/>
  <c r="B94" i="106"/>
  <c r="H93" i="106"/>
  <c r="F93" i="106"/>
  <c r="E93" i="106"/>
  <c r="M93" i="106" s="1"/>
  <c r="B93" i="106"/>
  <c r="J93" i="106" s="1"/>
  <c r="I92" i="106"/>
  <c r="H92" i="106"/>
  <c r="O92" i="106" s="1"/>
  <c r="F92" i="106"/>
  <c r="E92" i="106"/>
  <c r="B92" i="106"/>
  <c r="J92" i="106" s="1"/>
  <c r="L91" i="106"/>
  <c r="G91" i="106"/>
  <c r="N91" i="106" s="1"/>
  <c r="D91" i="106"/>
  <c r="I90" i="106"/>
  <c r="E90" i="106"/>
  <c r="B90" i="106"/>
  <c r="J90" i="106" s="1"/>
  <c r="I88" i="106"/>
  <c r="F88" i="106"/>
  <c r="E88" i="106"/>
  <c r="G87" i="106"/>
  <c r="N87" i="106" s="1"/>
  <c r="D87" i="106"/>
  <c r="L87" i="106" s="1"/>
  <c r="J86" i="106"/>
  <c r="I86" i="106"/>
  <c r="E86" i="106"/>
  <c r="B86" i="106"/>
  <c r="I84" i="106"/>
  <c r="F84" i="106"/>
  <c r="E84" i="106"/>
  <c r="D84" i="106"/>
  <c r="L84" i="106" s="1"/>
  <c r="I83" i="106"/>
  <c r="G83" i="106"/>
  <c r="N83" i="106" s="1"/>
  <c r="D83" i="106"/>
  <c r="L83" i="106" s="1"/>
  <c r="I82" i="106"/>
  <c r="E82" i="106"/>
  <c r="D82" i="106"/>
  <c r="L82" i="106" s="1"/>
  <c r="B82" i="106"/>
  <c r="K81" i="106"/>
  <c r="K89" i="106" s="1"/>
  <c r="I89" i="106"/>
  <c r="G88" i="106"/>
  <c r="N88" i="106" s="1"/>
  <c r="F89" i="106"/>
  <c r="E91" i="106"/>
  <c r="D88" i="106"/>
  <c r="L88" i="106" s="1"/>
  <c r="B91" i="106"/>
  <c r="I80" i="106"/>
  <c r="F80" i="106"/>
  <c r="E80" i="106"/>
  <c r="D80" i="106"/>
  <c r="L80" i="106" s="1"/>
  <c r="I79" i="106"/>
  <c r="G79" i="106"/>
  <c r="N79" i="106" s="1"/>
  <c r="F79" i="106"/>
  <c r="E79" i="106"/>
  <c r="M79" i="106" s="1"/>
  <c r="D79" i="106"/>
  <c r="L79" i="106" s="1"/>
  <c r="B79" i="106"/>
  <c r="J79" i="106" s="1"/>
  <c r="I78" i="106"/>
  <c r="F78" i="106"/>
  <c r="E78" i="106"/>
  <c r="D78" i="106"/>
  <c r="L78" i="106" s="1"/>
  <c r="B78" i="106"/>
  <c r="J78" i="106" s="1"/>
  <c r="I77" i="106"/>
  <c r="H77" i="106"/>
  <c r="O77" i="106" s="1"/>
  <c r="G77" i="106"/>
  <c r="N77" i="106" s="1"/>
  <c r="F77" i="106"/>
  <c r="E77" i="106"/>
  <c r="M77" i="106" s="1"/>
  <c r="D77" i="106"/>
  <c r="L77" i="106" s="1"/>
  <c r="B77" i="106"/>
  <c r="J77" i="106" s="1"/>
  <c r="I76" i="106"/>
  <c r="F76" i="106"/>
  <c r="E76" i="106"/>
  <c r="D76" i="106"/>
  <c r="L76" i="106" s="1"/>
  <c r="B76" i="106"/>
  <c r="I75" i="106"/>
  <c r="G75" i="106"/>
  <c r="N75" i="106" s="1"/>
  <c r="F75" i="106"/>
  <c r="E75" i="106"/>
  <c r="M75" i="106" s="1"/>
  <c r="D75" i="106"/>
  <c r="L75" i="106" s="1"/>
  <c r="B75" i="106"/>
  <c r="J75" i="106" s="1"/>
  <c r="I74" i="106"/>
  <c r="F74" i="106"/>
  <c r="E74" i="106"/>
  <c r="M74" i="106" s="1"/>
  <c r="D74" i="106"/>
  <c r="L74" i="106" s="1"/>
  <c r="B74" i="106"/>
  <c r="J74" i="106" s="1"/>
  <c r="H73" i="106"/>
  <c r="I72" i="106"/>
  <c r="F72" i="106"/>
  <c r="E72" i="106"/>
  <c r="M72" i="106" s="1"/>
  <c r="G71" i="106"/>
  <c r="I70" i="106"/>
  <c r="E70" i="106"/>
  <c r="B70" i="106"/>
  <c r="H69" i="106"/>
  <c r="I68" i="106"/>
  <c r="F68" i="106"/>
  <c r="E68" i="106"/>
  <c r="M68" i="106" s="1"/>
  <c r="G67" i="106"/>
  <c r="N67" i="106" s="1"/>
  <c r="I66" i="106"/>
  <c r="E66" i="106"/>
  <c r="B66" i="106"/>
  <c r="H65" i="106"/>
  <c r="I64" i="106"/>
  <c r="F64" i="106"/>
  <c r="E64" i="106"/>
  <c r="M64" i="106" s="1"/>
  <c r="O63" i="106"/>
  <c r="O71" i="106" s="1"/>
  <c r="I73" i="106"/>
  <c r="H70" i="106"/>
  <c r="O70" i="106" s="1"/>
  <c r="F73" i="106"/>
  <c r="E71" i="106"/>
  <c r="D59" i="106"/>
  <c r="L59" i="106" s="1"/>
  <c r="B71" i="106"/>
  <c r="J62" i="106"/>
  <c r="I62" i="106"/>
  <c r="H62" i="106"/>
  <c r="O62" i="106" s="1"/>
  <c r="F62" i="106"/>
  <c r="E62" i="106"/>
  <c r="M62" i="106" s="1"/>
  <c r="B62" i="106"/>
  <c r="I61" i="106"/>
  <c r="H61" i="106"/>
  <c r="O61" i="106" s="1"/>
  <c r="F61" i="106"/>
  <c r="E61" i="106"/>
  <c r="B61" i="106"/>
  <c r="J61" i="106" s="1"/>
  <c r="I60" i="106"/>
  <c r="H60" i="106"/>
  <c r="O60" i="106" s="1"/>
  <c r="F60" i="106"/>
  <c r="E60" i="106"/>
  <c r="B60" i="106"/>
  <c r="I59" i="106"/>
  <c r="H59" i="106"/>
  <c r="O59" i="106" s="1"/>
  <c r="G59" i="106"/>
  <c r="N59" i="106" s="1"/>
  <c r="F59" i="106"/>
  <c r="E59" i="106"/>
  <c r="B59" i="106"/>
  <c r="J59" i="106" s="1"/>
  <c r="I58" i="106"/>
  <c r="H58" i="106"/>
  <c r="O58" i="106" s="1"/>
  <c r="F58" i="106"/>
  <c r="E58" i="106"/>
  <c r="M58" i="106" s="1"/>
  <c r="B58" i="106"/>
  <c r="I57" i="106"/>
  <c r="H57" i="106"/>
  <c r="O57" i="106" s="1"/>
  <c r="F57" i="106"/>
  <c r="E57" i="106"/>
  <c r="M57" i="106" s="1"/>
  <c r="B57" i="106"/>
  <c r="J57" i="106" s="1"/>
  <c r="I56" i="106"/>
  <c r="H56" i="106"/>
  <c r="F56" i="106"/>
  <c r="E56" i="106"/>
  <c r="M56" i="106" s="1"/>
  <c r="B56" i="106"/>
  <c r="G55" i="106"/>
  <c r="N55" i="106" s="1"/>
  <c r="D55" i="106"/>
  <c r="L55" i="106" s="1"/>
  <c r="I54" i="106"/>
  <c r="E54" i="106"/>
  <c r="B54" i="106"/>
  <c r="I52" i="106"/>
  <c r="F52" i="106"/>
  <c r="E52" i="106"/>
  <c r="M52" i="106" s="1"/>
  <c r="G51" i="106"/>
  <c r="N51" i="106" s="1"/>
  <c r="D51" i="106"/>
  <c r="L51" i="106" s="1"/>
  <c r="I50" i="106"/>
  <c r="E50" i="106"/>
  <c r="B50" i="106"/>
  <c r="C49" i="106"/>
  <c r="I48" i="106"/>
  <c r="F48" i="106"/>
  <c r="E48" i="106"/>
  <c r="G47" i="106"/>
  <c r="N47" i="106" s="1"/>
  <c r="D47" i="106"/>
  <c r="L47" i="106" s="1"/>
  <c r="I46" i="106"/>
  <c r="E46" i="106"/>
  <c r="B46" i="106"/>
  <c r="I53" i="106"/>
  <c r="H53" i="106"/>
  <c r="G52" i="106"/>
  <c r="N52" i="106" s="1"/>
  <c r="F53" i="106"/>
  <c r="E55" i="106"/>
  <c r="D52" i="106"/>
  <c r="L52" i="106" s="1"/>
  <c r="B55" i="106"/>
  <c r="I44" i="106"/>
  <c r="F44" i="106"/>
  <c r="E44" i="106"/>
  <c r="D44" i="106"/>
  <c r="L44" i="106" s="1"/>
  <c r="B44" i="106"/>
  <c r="I43" i="106"/>
  <c r="G43" i="106"/>
  <c r="N43" i="106" s="1"/>
  <c r="F43" i="106"/>
  <c r="E43" i="106"/>
  <c r="D43" i="106"/>
  <c r="L43" i="106" s="1"/>
  <c r="B43" i="106"/>
  <c r="J43" i="106" s="1"/>
  <c r="I42" i="106"/>
  <c r="F42" i="106"/>
  <c r="E42" i="106"/>
  <c r="M42" i="106" s="1"/>
  <c r="D42" i="106"/>
  <c r="L42" i="106" s="1"/>
  <c r="B42" i="106"/>
  <c r="J42" i="106" s="1"/>
  <c r="I41" i="106"/>
  <c r="G41" i="106"/>
  <c r="N41" i="106" s="1"/>
  <c r="F41" i="106"/>
  <c r="E41" i="106"/>
  <c r="M41" i="106" s="1"/>
  <c r="D41" i="106"/>
  <c r="L41" i="106" s="1"/>
  <c r="B41" i="106"/>
  <c r="J41" i="106" s="1"/>
  <c r="M40" i="106"/>
  <c r="I40" i="106"/>
  <c r="F40" i="106"/>
  <c r="E40" i="106"/>
  <c r="D40" i="106"/>
  <c r="L40" i="106" s="1"/>
  <c r="B40" i="106"/>
  <c r="I39" i="106"/>
  <c r="G39" i="106"/>
  <c r="N39" i="106" s="1"/>
  <c r="F39" i="106"/>
  <c r="E39" i="106"/>
  <c r="M39" i="106" s="1"/>
  <c r="D39" i="106"/>
  <c r="L39" i="106" s="1"/>
  <c r="B39" i="106"/>
  <c r="J39" i="106" s="1"/>
  <c r="I38" i="106"/>
  <c r="F38" i="106"/>
  <c r="E38" i="106"/>
  <c r="D38" i="106"/>
  <c r="L38" i="106" s="1"/>
  <c r="B38" i="106"/>
  <c r="J38" i="106" s="1"/>
  <c r="H37" i="106"/>
  <c r="E36" i="106"/>
  <c r="I34" i="106"/>
  <c r="F34" i="106"/>
  <c r="E34" i="106"/>
  <c r="B34" i="106"/>
  <c r="G33" i="106"/>
  <c r="N33" i="106" s="1"/>
  <c r="I32" i="106"/>
  <c r="F32" i="106"/>
  <c r="E32" i="106"/>
  <c r="M32" i="106" s="1"/>
  <c r="B32" i="106"/>
  <c r="I30" i="106"/>
  <c r="F30" i="106"/>
  <c r="E30" i="106"/>
  <c r="M30" i="106" s="1"/>
  <c r="B30" i="106"/>
  <c r="I29" i="106"/>
  <c r="G29" i="106"/>
  <c r="N29" i="106" s="1"/>
  <c r="F29" i="106"/>
  <c r="I28" i="106"/>
  <c r="F28" i="106"/>
  <c r="E28" i="106"/>
  <c r="B28" i="106"/>
  <c r="O27" i="106"/>
  <c r="O35" i="106" s="1"/>
  <c r="I36" i="106"/>
  <c r="H36" i="106"/>
  <c r="G36" i="106"/>
  <c r="N36" i="106" s="1"/>
  <c r="F37" i="106"/>
  <c r="E37" i="106"/>
  <c r="M37" i="106" s="1"/>
  <c r="D32" i="106"/>
  <c r="L32" i="106" s="1"/>
  <c r="I26" i="106"/>
  <c r="F26" i="106"/>
  <c r="E26" i="106"/>
  <c r="M26" i="106" s="1"/>
  <c r="B26" i="106"/>
  <c r="I25" i="106"/>
  <c r="H25" i="106"/>
  <c r="O25" i="106" s="1"/>
  <c r="G25" i="106"/>
  <c r="N25" i="106" s="1"/>
  <c r="F25" i="106"/>
  <c r="D25" i="106"/>
  <c r="L25" i="106" s="1"/>
  <c r="I24" i="106"/>
  <c r="F24" i="106"/>
  <c r="E24" i="106"/>
  <c r="M24" i="106" s="1"/>
  <c r="B24" i="106"/>
  <c r="I23" i="106"/>
  <c r="H23" i="106"/>
  <c r="O23" i="106" s="1"/>
  <c r="G23" i="106"/>
  <c r="N23" i="106" s="1"/>
  <c r="F23" i="106"/>
  <c r="E23" i="106"/>
  <c r="D23" i="106"/>
  <c r="L23" i="106" s="1"/>
  <c r="C23" i="106"/>
  <c r="K23" i="106" s="1"/>
  <c r="B23" i="106"/>
  <c r="J23" i="106" s="1"/>
  <c r="I22" i="106"/>
  <c r="F22" i="106"/>
  <c r="E22" i="106"/>
  <c r="M22" i="106" s="1"/>
  <c r="B22" i="106"/>
  <c r="I21" i="106"/>
  <c r="H21" i="106"/>
  <c r="O21" i="106" s="1"/>
  <c r="G21" i="106"/>
  <c r="N21" i="106" s="1"/>
  <c r="F21" i="106"/>
  <c r="E21" i="106"/>
  <c r="M21" i="106" s="1"/>
  <c r="D21" i="106"/>
  <c r="L21" i="106" s="1"/>
  <c r="B21" i="106"/>
  <c r="J21" i="106" s="1"/>
  <c r="I20" i="106"/>
  <c r="F20" i="106"/>
  <c r="E20" i="106"/>
  <c r="M20" i="106" s="1"/>
  <c r="B20" i="106"/>
  <c r="I18" i="106"/>
  <c r="F18" i="106"/>
  <c r="E18" i="106"/>
  <c r="B18" i="106"/>
  <c r="I16" i="106"/>
  <c r="F16" i="106"/>
  <c r="E16" i="106"/>
  <c r="B16" i="106"/>
  <c r="I14" i="106"/>
  <c r="F14" i="106"/>
  <c r="E14" i="106"/>
  <c r="B14" i="106"/>
  <c r="I12" i="106"/>
  <c r="F12" i="106"/>
  <c r="E12" i="106"/>
  <c r="M12" i="106" s="1"/>
  <c r="B12" i="106"/>
  <c r="I10" i="106"/>
  <c r="F10" i="106"/>
  <c r="E10" i="106"/>
  <c r="M10" i="106" s="1"/>
  <c r="B10" i="106"/>
  <c r="O9" i="106"/>
  <c r="O17" i="106" s="1"/>
  <c r="I19" i="106"/>
  <c r="H19" i="106"/>
  <c r="G18" i="106"/>
  <c r="N18" i="106" s="1"/>
  <c r="F19" i="106"/>
  <c r="E17" i="106"/>
  <c r="D17" i="106"/>
  <c r="C16" i="106"/>
  <c r="B17" i="106"/>
  <c r="I8" i="106"/>
  <c r="F8" i="106"/>
  <c r="E8" i="106"/>
  <c r="M8" i="106" s="1"/>
  <c r="B8" i="106"/>
  <c r="I7" i="106"/>
  <c r="H7" i="106"/>
  <c r="O7" i="106" s="1"/>
  <c r="F7" i="106"/>
  <c r="E7" i="106"/>
  <c r="M7" i="106" s="1"/>
  <c r="D7" i="106"/>
  <c r="L7" i="106" s="1"/>
  <c r="B7" i="106"/>
  <c r="J7" i="106" s="1"/>
  <c r="I6" i="106"/>
  <c r="F6" i="106"/>
  <c r="E6" i="106"/>
  <c r="M6" i="106" s="1"/>
  <c r="B6" i="106"/>
  <c r="I5" i="106"/>
  <c r="H5" i="106"/>
  <c r="O5" i="106" s="1"/>
  <c r="F5" i="106"/>
  <c r="E5" i="106"/>
  <c r="D5" i="106"/>
  <c r="L5" i="106" s="1"/>
  <c r="C5" i="106"/>
  <c r="K5" i="106" s="1"/>
  <c r="B5" i="106"/>
  <c r="J5" i="106" s="1"/>
  <c r="I4" i="106"/>
  <c r="F4" i="106"/>
  <c r="E4" i="106"/>
  <c r="M4" i="106" s="1"/>
  <c r="B4" i="106"/>
  <c r="I3" i="106"/>
  <c r="H3" i="106"/>
  <c r="O3" i="106" s="1"/>
  <c r="F3" i="106"/>
  <c r="E3" i="106"/>
  <c r="M3" i="106" s="1"/>
  <c r="D3" i="106"/>
  <c r="L3" i="106" s="1"/>
  <c r="B3" i="106"/>
  <c r="J3" i="106" s="1"/>
  <c r="I2" i="106"/>
  <c r="F2" i="106"/>
  <c r="E2" i="106"/>
  <c r="M2" i="106" s="1"/>
  <c r="B2" i="106"/>
  <c r="J2" i="106" s="1"/>
  <c r="K2" i="104"/>
  <c r="J2" i="104"/>
  <c r="I2" i="104"/>
  <c r="H2" i="104"/>
  <c r="G2" i="104"/>
  <c r="F2" i="104"/>
  <c r="E2" i="104"/>
  <c r="D2" i="104"/>
  <c r="C2" i="104"/>
  <c r="H14" i="103"/>
  <c r="K125" i="104"/>
  <c r="J125" i="104"/>
  <c r="I125" i="104"/>
  <c r="H125" i="104"/>
  <c r="G125" i="104"/>
  <c r="F125" i="104"/>
  <c r="E125" i="104"/>
  <c r="D125" i="104"/>
  <c r="C125" i="104"/>
  <c r="B125" i="104"/>
  <c r="L124" i="104"/>
  <c r="L123" i="104"/>
  <c r="L122" i="104"/>
  <c r="L121" i="104"/>
  <c r="L120" i="104"/>
  <c r="L119" i="104"/>
  <c r="K116" i="104"/>
  <c r="J116" i="104"/>
  <c r="I116" i="104"/>
  <c r="H116" i="104"/>
  <c r="G116" i="104"/>
  <c r="F116" i="104"/>
  <c r="E116" i="104"/>
  <c r="D116" i="104"/>
  <c r="C116" i="104"/>
  <c r="B116" i="104"/>
  <c r="L115" i="104"/>
  <c r="L114" i="104"/>
  <c r="L113" i="104"/>
  <c r="L112" i="104"/>
  <c r="L111" i="104"/>
  <c r="L110" i="104"/>
  <c r="L109" i="104"/>
  <c r="L108" i="104"/>
  <c r="L107" i="104"/>
  <c r="L106" i="104"/>
  <c r="L105" i="104"/>
  <c r="L104" i="104"/>
  <c r="L103" i="104"/>
  <c r="L102" i="104"/>
  <c r="L101" i="104"/>
  <c r="L100" i="104"/>
  <c r="K98" i="104"/>
  <c r="J98" i="104"/>
  <c r="I98" i="104"/>
  <c r="H98" i="104"/>
  <c r="G98" i="104"/>
  <c r="F98" i="104"/>
  <c r="E98" i="104"/>
  <c r="D98" i="104"/>
  <c r="C98" i="104"/>
  <c r="B98" i="104"/>
  <c r="L97" i="104"/>
  <c r="L96" i="104"/>
  <c r="K94" i="104"/>
  <c r="J94" i="104"/>
  <c r="I94" i="104"/>
  <c r="H94" i="104"/>
  <c r="G94" i="104"/>
  <c r="F94" i="104"/>
  <c r="E94" i="104"/>
  <c r="D94" i="104"/>
  <c r="C94" i="104"/>
  <c r="B94" i="104"/>
  <c r="L93" i="104"/>
  <c r="L92" i="104"/>
  <c r="L91" i="104"/>
  <c r="L90" i="104"/>
  <c r="L89" i="104"/>
  <c r="L88" i="104"/>
  <c r="L87" i="104"/>
  <c r="K85" i="104"/>
  <c r="J85" i="104"/>
  <c r="I85" i="104"/>
  <c r="H85" i="104"/>
  <c r="G85" i="104"/>
  <c r="F85" i="104"/>
  <c r="E85" i="104"/>
  <c r="D85" i="104"/>
  <c r="C85" i="104"/>
  <c r="B85" i="104"/>
  <c r="L84" i="104"/>
  <c r="L83" i="104"/>
  <c r="L82" i="104"/>
  <c r="L81" i="104"/>
  <c r="K78" i="104"/>
  <c r="J78" i="104"/>
  <c r="I78" i="104"/>
  <c r="H78" i="104"/>
  <c r="G78" i="104"/>
  <c r="F78" i="104"/>
  <c r="E78" i="104"/>
  <c r="D78" i="104"/>
  <c r="C78" i="104"/>
  <c r="B78" i="104"/>
  <c r="L77" i="104"/>
  <c r="L76" i="104"/>
  <c r="L75" i="104"/>
  <c r="L74" i="104"/>
  <c r="L73" i="104"/>
  <c r="L72" i="104"/>
  <c r="L71" i="104"/>
  <c r="L70" i="104"/>
  <c r="L69" i="104"/>
  <c r="K67" i="104"/>
  <c r="J67" i="104"/>
  <c r="I67" i="104"/>
  <c r="H67" i="104"/>
  <c r="G67" i="104"/>
  <c r="F67" i="104"/>
  <c r="E67" i="104"/>
  <c r="D67" i="104"/>
  <c r="C67" i="104"/>
  <c r="B67" i="104"/>
  <c r="L66" i="104"/>
  <c r="L65" i="104"/>
  <c r="L64" i="104"/>
  <c r="L63" i="104"/>
  <c r="L62" i="104"/>
  <c r="L61" i="104"/>
  <c r="L60" i="104"/>
  <c r="L59" i="104"/>
  <c r="L58" i="104"/>
  <c r="L57" i="104"/>
  <c r="L56" i="104"/>
  <c r="L55" i="104"/>
  <c r="L54" i="104"/>
  <c r="L52" i="104"/>
  <c r="K51" i="104"/>
  <c r="J51" i="104"/>
  <c r="I51" i="104"/>
  <c r="H51" i="104"/>
  <c r="G51" i="104"/>
  <c r="F51" i="104"/>
  <c r="E51" i="104"/>
  <c r="D51" i="104"/>
  <c r="C51" i="104"/>
  <c r="B51" i="104"/>
  <c r="L50" i="104"/>
  <c r="L49" i="104"/>
  <c r="L51" i="104" s="1"/>
  <c r="K47" i="104"/>
  <c r="J47" i="104"/>
  <c r="I47" i="104"/>
  <c r="H47" i="104"/>
  <c r="G47" i="104"/>
  <c r="F47" i="104"/>
  <c r="E47" i="104"/>
  <c r="D47" i="104"/>
  <c r="C47" i="104"/>
  <c r="B47" i="104"/>
  <c r="L46" i="104"/>
  <c r="L45" i="104"/>
  <c r="L44" i="104"/>
  <c r="L40" i="104"/>
  <c r="L39" i="104"/>
  <c r="L38" i="104"/>
  <c r="L37" i="104"/>
  <c r="L36" i="104"/>
  <c r="L35" i="104"/>
  <c r="L34" i="104"/>
  <c r="L33" i="104"/>
  <c r="L31" i="104"/>
  <c r="K30" i="104"/>
  <c r="J30" i="104"/>
  <c r="I30" i="104"/>
  <c r="H30" i="104"/>
  <c r="G30" i="104"/>
  <c r="F30" i="104"/>
  <c r="E30" i="104"/>
  <c r="D30" i="104"/>
  <c r="C30" i="104"/>
  <c r="B30" i="104"/>
  <c r="L29" i="104"/>
  <c r="L28" i="104"/>
  <c r="L27" i="104"/>
  <c r="L26" i="104"/>
  <c r="L25" i="104"/>
  <c r="L24" i="104"/>
  <c r="L23" i="104"/>
  <c r="L22" i="104"/>
  <c r="L21" i="104"/>
  <c r="L20" i="104"/>
  <c r="L19" i="104"/>
  <c r="L17" i="104"/>
  <c r="L16" i="104"/>
  <c r="L15" i="104"/>
  <c r="K13" i="104"/>
  <c r="J13" i="104"/>
  <c r="I13" i="104"/>
  <c r="H13" i="104"/>
  <c r="G13" i="104"/>
  <c r="F13" i="104"/>
  <c r="E13" i="104"/>
  <c r="D13" i="104"/>
  <c r="C13" i="104"/>
  <c r="B13" i="104"/>
  <c r="L12" i="104"/>
  <c r="L11" i="104"/>
  <c r="K10" i="104"/>
  <c r="J10" i="104"/>
  <c r="I10" i="104"/>
  <c r="I14" i="104" s="1"/>
  <c r="H10" i="104"/>
  <c r="G10" i="104"/>
  <c r="G14" i="104" s="1"/>
  <c r="F10" i="104"/>
  <c r="E10" i="104"/>
  <c r="D10" i="104"/>
  <c r="C10" i="104"/>
  <c r="B10" i="104"/>
  <c r="L9" i="104"/>
  <c r="L8" i="104"/>
  <c r="L7" i="104"/>
  <c r="L6" i="104"/>
  <c r="AN5" i="102" l="1"/>
  <c r="AQ25" i="102"/>
  <c r="AR25" i="102"/>
  <c r="K275" i="106"/>
  <c r="K293" i="106"/>
  <c r="O388" i="106"/>
  <c r="J237" i="106"/>
  <c r="K289" i="106"/>
  <c r="J399" i="106"/>
  <c r="M150" i="106"/>
  <c r="J363" i="106"/>
  <c r="K885" i="106"/>
  <c r="J885" i="106"/>
  <c r="C521" i="106"/>
  <c r="C517" i="106"/>
  <c r="C523" i="106"/>
  <c r="C520" i="106"/>
  <c r="C965" i="106"/>
  <c r="C961" i="106"/>
  <c r="C971" i="106"/>
  <c r="C957" i="106"/>
  <c r="C959" i="106"/>
  <c r="C969" i="106"/>
  <c r="M16" i="106"/>
  <c r="M28" i="106"/>
  <c r="M34" i="106"/>
  <c r="M38" i="106"/>
  <c r="M43" i="106"/>
  <c r="K45" i="106"/>
  <c r="K53" i="106" s="1"/>
  <c r="M61" i="106"/>
  <c r="M76" i="106"/>
  <c r="M80" i="106"/>
  <c r="C95" i="106"/>
  <c r="K95" i="106" s="1"/>
  <c r="O96" i="106"/>
  <c r="M104" i="106"/>
  <c r="M109" i="106"/>
  <c r="C111" i="106"/>
  <c r="C113" i="106"/>
  <c r="M120" i="106"/>
  <c r="O130" i="106"/>
  <c r="O142" i="106"/>
  <c r="M149" i="106"/>
  <c r="O166" i="106"/>
  <c r="C177" i="106"/>
  <c r="K177" i="106" s="1"/>
  <c r="M182" i="106"/>
  <c r="C185" i="106"/>
  <c r="K185" i="106" s="1"/>
  <c r="C217" i="106"/>
  <c r="C229" i="106"/>
  <c r="K241" i="106"/>
  <c r="C245" i="106"/>
  <c r="K245" i="106" s="1"/>
  <c r="C277" i="106"/>
  <c r="K277" i="106" s="1"/>
  <c r="M310" i="106"/>
  <c r="O312" i="106"/>
  <c r="K330" i="106"/>
  <c r="C331" i="106"/>
  <c r="C332" i="106"/>
  <c r="M340" i="106"/>
  <c r="M345" i="106"/>
  <c r="M347" i="106"/>
  <c r="M348" i="106"/>
  <c r="O350" i="106"/>
  <c r="O382" i="106"/>
  <c r="C391" i="106"/>
  <c r="C401" i="106"/>
  <c r="K401" i="106" s="1"/>
  <c r="C428" i="106"/>
  <c r="K428" i="106" s="1"/>
  <c r="M450" i="106"/>
  <c r="C471" i="106"/>
  <c r="M491" i="106"/>
  <c r="C494" i="106"/>
  <c r="O502" i="106"/>
  <c r="M510" i="106"/>
  <c r="C515" i="106"/>
  <c r="J524" i="106"/>
  <c r="C642" i="106"/>
  <c r="C677" i="106"/>
  <c r="C853" i="106"/>
  <c r="C923" i="106"/>
  <c r="K690" i="106"/>
  <c r="C563" i="106"/>
  <c r="C574" i="106"/>
  <c r="C564" i="106"/>
  <c r="K564" i="106" s="1"/>
  <c r="C560" i="106"/>
  <c r="C568" i="106"/>
  <c r="C565" i="106"/>
  <c r="C561" i="106"/>
  <c r="C576" i="106"/>
  <c r="C573" i="106"/>
  <c r="C570" i="106"/>
  <c r="C566" i="106"/>
  <c r="C562" i="106"/>
  <c r="C569" i="106"/>
  <c r="C1042" i="106"/>
  <c r="C1029" i="106"/>
  <c r="C1028" i="106"/>
  <c r="C1030" i="106"/>
  <c r="K1030" i="106" s="1"/>
  <c r="C1033" i="106"/>
  <c r="C1032" i="106"/>
  <c r="C1031" i="106"/>
  <c r="C1038" i="106"/>
  <c r="C1043" i="106"/>
  <c r="C1034" i="106"/>
  <c r="K1034" i="106" s="1"/>
  <c r="C53" i="106"/>
  <c r="C59" i="106"/>
  <c r="K59" i="106" s="1"/>
  <c r="O98" i="106"/>
  <c r="O106" i="106"/>
  <c r="C110" i="106"/>
  <c r="M113" i="106"/>
  <c r="C115" i="106"/>
  <c r="M116" i="106"/>
  <c r="C118" i="106"/>
  <c r="C125" i="106"/>
  <c r="C147" i="106"/>
  <c r="C161" i="106"/>
  <c r="C237" i="106"/>
  <c r="K237" i="106" s="1"/>
  <c r="C253" i="106"/>
  <c r="K253" i="106" s="1"/>
  <c r="C275" i="106"/>
  <c r="C276" i="106"/>
  <c r="C287" i="106"/>
  <c r="C280" i="106"/>
  <c r="C284" i="106"/>
  <c r="C289" i="106"/>
  <c r="C329" i="106"/>
  <c r="K329" i="106" s="1"/>
  <c r="M336" i="106"/>
  <c r="M344" i="106"/>
  <c r="K351" i="106"/>
  <c r="K359" i="106" s="1"/>
  <c r="K362" i="106"/>
  <c r="C363" i="106"/>
  <c r="K363" i="106" s="1"/>
  <c r="C376" i="106"/>
  <c r="C399" i="106"/>
  <c r="K399" i="106" s="1"/>
  <c r="C419" i="106"/>
  <c r="C420" i="106"/>
  <c r="K420" i="106" s="1"/>
  <c r="C422" i="106"/>
  <c r="K422" i="106" s="1"/>
  <c r="C425" i="106"/>
  <c r="C434" i="106"/>
  <c r="K434" i="106" s="1"/>
  <c r="C447" i="106"/>
  <c r="C470" i="106"/>
  <c r="K470" i="106" s="1"/>
  <c r="C475" i="106"/>
  <c r="C478" i="106"/>
  <c r="K478" i="106" s="1"/>
  <c r="K650" i="106"/>
  <c r="C689" i="106"/>
  <c r="K689" i="106" s="1"/>
  <c r="M934" i="106"/>
  <c r="C1014" i="106"/>
  <c r="K1014" i="106" s="1"/>
  <c r="C1013" i="106"/>
  <c r="C1022" i="106"/>
  <c r="C1015" i="106"/>
  <c r="C1016" i="106"/>
  <c r="C1027" i="106"/>
  <c r="K1027" i="106" s="1"/>
  <c r="C1026" i="106"/>
  <c r="C1018" i="106"/>
  <c r="C1012" i="106"/>
  <c r="M5" i="106"/>
  <c r="M14" i="106"/>
  <c r="M23" i="106"/>
  <c r="K39" i="106"/>
  <c r="C41" i="106"/>
  <c r="K41" i="106" s="1"/>
  <c r="M59" i="106"/>
  <c r="C70" i="106"/>
  <c r="K77" i="106"/>
  <c r="C97" i="106"/>
  <c r="K97" i="106" s="1"/>
  <c r="C112" i="106"/>
  <c r="M152" i="106"/>
  <c r="C167" i="106"/>
  <c r="K167" i="106" s="1"/>
  <c r="C173" i="106"/>
  <c r="K173" i="106" s="1"/>
  <c r="C183" i="106"/>
  <c r="C215" i="106"/>
  <c r="C208" i="106"/>
  <c r="C228" i="106"/>
  <c r="C240" i="106"/>
  <c r="C251" i="106"/>
  <c r="C244" i="106"/>
  <c r="C272" i="106"/>
  <c r="J277" i="106"/>
  <c r="C282" i="106"/>
  <c r="M308" i="106"/>
  <c r="C327" i="106"/>
  <c r="K327" i="106" s="1"/>
  <c r="C328" i="106"/>
  <c r="K328" i="106" s="1"/>
  <c r="O347" i="106"/>
  <c r="C355" i="106"/>
  <c r="C362" i="106"/>
  <c r="C368" i="106"/>
  <c r="K368" i="106" s="1"/>
  <c r="C371" i="106"/>
  <c r="C379" i="106"/>
  <c r="O386" i="106"/>
  <c r="C398" i="106"/>
  <c r="K398" i="106" s="1"/>
  <c r="C438" i="106"/>
  <c r="K438" i="106" s="1"/>
  <c r="O454" i="106"/>
  <c r="C473" i="106"/>
  <c r="K473" i="106" s="1"/>
  <c r="C484" i="106"/>
  <c r="O490" i="106"/>
  <c r="M512" i="106"/>
  <c r="C572" i="106"/>
  <c r="K741" i="106"/>
  <c r="J741" i="106"/>
  <c r="M803" i="106"/>
  <c r="M903" i="106"/>
  <c r="K922" i="106"/>
  <c r="J922" i="106"/>
  <c r="C997" i="106"/>
  <c r="C998" i="106"/>
  <c r="K998" i="106" s="1"/>
  <c r="C1007" i="106"/>
  <c r="C992" i="106"/>
  <c r="K999" i="106"/>
  <c r="K1007" i="106" s="1"/>
  <c r="C993" i="106"/>
  <c r="C994" i="106"/>
  <c r="K994" i="106" s="1"/>
  <c r="C1006" i="106"/>
  <c r="M18" i="106"/>
  <c r="C106" i="106"/>
  <c r="C105" i="106"/>
  <c r="C119" i="106"/>
  <c r="M131" i="106"/>
  <c r="C131" i="106"/>
  <c r="K131" i="106" s="1"/>
  <c r="M147" i="106"/>
  <c r="C151" i="106"/>
  <c r="M164" i="106"/>
  <c r="M167" i="106"/>
  <c r="O168" i="106"/>
  <c r="O176" i="106"/>
  <c r="C201" i="106"/>
  <c r="K201" i="106" s="1"/>
  <c r="C204" i="106"/>
  <c r="C213" i="106"/>
  <c r="K213" i="106" s="1"/>
  <c r="C236" i="106"/>
  <c r="C239" i="106"/>
  <c r="K239" i="106" s="1"/>
  <c r="C249" i="106"/>
  <c r="C257" i="106"/>
  <c r="O280" i="106"/>
  <c r="M293" i="106"/>
  <c r="M313" i="106"/>
  <c r="C326" i="106"/>
  <c r="K326" i="106" s="1"/>
  <c r="M329" i="106"/>
  <c r="O344" i="106"/>
  <c r="M363" i="106"/>
  <c r="C364" i="106"/>
  <c r="K364" i="106" s="1"/>
  <c r="C365" i="106"/>
  <c r="K365" i="106" s="1"/>
  <c r="C367" i="106"/>
  <c r="K367" i="106" s="1"/>
  <c r="M383" i="106"/>
  <c r="M384" i="106"/>
  <c r="K387" i="106"/>
  <c r="K395" i="106" s="1"/>
  <c r="M399" i="106"/>
  <c r="O402" i="106"/>
  <c r="C418" i="106"/>
  <c r="K418" i="106" s="1"/>
  <c r="C430" i="106"/>
  <c r="K430" i="106" s="1"/>
  <c r="C437" i="106"/>
  <c r="K437" i="106" s="1"/>
  <c r="C465" i="106"/>
  <c r="O470" i="106"/>
  <c r="C487" i="106"/>
  <c r="K487" i="106" s="1"/>
  <c r="M502" i="106"/>
  <c r="C511" i="106"/>
  <c r="O512" i="106"/>
  <c r="K520" i="106"/>
  <c r="O672" i="106"/>
  <c r="M887" i="106"/>
  <c r="C920" i="106"/>
  <c r="O957" i="106"/>
  <c r="K1035" i="106"/>
  <c r="K1043" i="106" s="1"/>
  <c r="K425" i="106"/>
  <c r="K484" i="106"/>
  <c r="K531" i="106"/>
  <c r="K539" i="106" s="1"/>
  <c r="C527" i="106"/>
  <c r="K527" i="106" s="1"/>
  <c r="C535" i="106"/>
  <c r="C533" i="106"/>
  <c r="K533" i="106" s="1"/>
  <c r="C528" i="106"/>
  <c r="K528" i="106" s="1"/>
  <c r="C541" i="106"/>
  <c r="K541" i="106" s="1"/>
  <c r="C539" i="106"/>
  <c r="C529" i="106"/>
  <c r="K529" i="106" s="1"/>
  <c r="C524" i="106"/>
  <c r="K524" i="106" s="1"/>
  <c r="C604" i="106"/>
  <c r="C610" i="106"/>
  <c r="C600" i="106"/>
  <c r="C608" i="106"/>
  <c r="C605" i="106"/>
  <c r="C597" i="106"/>
  <c r="C612" i="106"/>
  <c r="C601" i="106"/>
  <c r="C609" i="106"/>
  <c r="K609" i="106" s="1"/>
  <c r="C602" i="106"/>
  <c r="C598" i="106"/>
  <c r="C606" i="106"/>
  <c r="C611" i="106"/>
  <c r="C599" i="106"/>
  <c r="C596" i="106"/>
  <c r="C649" i="106"/>
  <c r="C641" i="106"/>
  <c r="C632" i="106"/>
  <c r="C635" i="106"/>
  <c r="K635" i="106" s="1"/>
  <c r="C636" i="106"/>
  <c r="C633" i="106"/>
  <c r="C637" i="106"/>
  <c r="C646" i="106"/>
  <c r="K646" i="106" s="1"/>
  <c r="C640" i="106"/>
  <c r="C645" i="106"/>
  <c r="C634" i="106"/>
  <c r="C683" i="106"/>
  <c r="C670" i="106"/>
  <c r="K670" i="106" s="1"/>
  <c r="C682" i="106"/>
  <c r="K675" i="106"/>
  <c r="K683" i="106" s="1"/>
  <c r="C678" i="106"/>
  <c r="K678" i="106" s="1"/>
  <c r="C672" i="106"/>
  <c r="C671" i="106"/>
  <c r="C673" i="106"/>
  <c r="K673" i="106" s="1"/>
  <c r="C685" i="106"/>
  <c r="C681" i="106"/>
  <c r="C669" i="106"/>
  <c r="K669" i="106" s="1"/>
  <c r="C668" i="106"/>
  <c r="K668" i="106" s="1"/>
  <c r="C713" i="106"/>
  <c r="C710" i="106"/>
  <c r="C704" i="106"/>
  <c r="K704" i="106" s="1"/>
  <c r="C718" i="106"/>
  <c r="C705" i="106"/>
  <c r="K705" i="106" s="1"/>
  <c r="C721" i="106"/>
  <c r="C714" i="106"/>
  <c r="C719" i="106"/>
  <c r="C717" i="106"/>
  <c r="C709" i="106"/>
  <c r="K709" i="106" s="1"/>
  <c r="C707" i="106"/>
  <c r="C750" i="106"/>
  <c r="C744" i="106"/>
  <c r="K744" i="106" s="1"/>
  <c r="C743" i="106"/>
  <c r="C752" i="106"/>
  <c r="C745" i="106"/>
  <c r="C754" i="106"/>
  <c r="K754" i="106" s="1"/>
  <c r="C740" i="106"/>
  <c r="K740" i="106" s="1"/>
  <c r="C746" i="106"/>
  <c r="K746" i="106" s="1"/>
  <c r="C741" i="106"/>
  <c r="C748" i="106"/>
  <c r="C755" i="106"/>
  <c r="C784" i="106"/>
  <c r="K784" i="106" s="1"/>
  <c r="C780" i="106"/>
  <c r="K780" i="106" s="1"/>
  <c r="C791" i="106"/>
  <c r="C779" i="106"/>
  <c r="C786" i="106"/>
  <c r="C777" i="106"/>
  <c r="C781" i="106"/>
  <c r="K781" i="106" s="1"/>
  <c r="C788" i="106"/>
  <c r="K788" i="106" s="1"/>
  <c r="C790" i="106"/>
  <c r="C778" i="106"/>
  <c r="K778" i="106" s="1"/>
  <c r="C776" i="106"/>
  <c r="K776" i="106" s="1"/>
  <c r="C817" i="106"/>
  <c r="C826" i="106"/>
  <c r="C818" i="106"/>
  <c r="K818" i="106" s="1"/>
  <c r="C812" i="106"/>
  <c r="C827" i="106"/>
  <c r="C813" i="106"/>
  <c r="K813" i="106" s="1"/>
  <c r="C814" i="106"/>
  <c r="K814" i="106" s="1"/>
  <c r="C856" i="106"/>
  <c r="K856" i="106" s="1"/>
  <c r="C862" i="106"/>
  <c r="C857" i="106"/>
  <c r="C854" i="106"/>
  <c r="C850" i="106"/>
  <c r="C864" i="106"/>
  <c r="C852" i="106"/>
  <c r="K852" i="106" s="1"/>
  <c r="C848" i="106"/>
  <c r="C849" i="106"/>
  <c r="K849" i="106" s="1"/>
  <c r="C897" i="106"/>
  <c r="C887" i="106"/>
  <c r="C894" i="106"/>
  <c r="C892" i="106"/>
  <c r="K892" i="106" s="1"/>
  <c r="C889" i="106"/>
  <c r="C884" i="106"/>
  <c r="K884" i="106" s="1"/>
  <c r="C901" i="106"/>
  <c r="C898" i="106"/>
  <c r="C896" i="106"/>
  <c r="K896" i="106" s="1"/>
  <c r="C893" i="106"/>
  <c r="C885" i="106"/>
  <c r="C890" i="106"/>
  <c r="C888" i="106"/>
  <c r="K888" i="106" s="1"/>
  <c r="C985" i="106"/>
  <c r="C977" i="106"/>
  <c r="C990" i="106"/>
  <c r="C3" i="106"/>
  <c r="K3" i="106" s="1"/>
  <c r="C7" i="106"/>
  <c r="K7" i="106" s="1"/>
  <c r="C11" i="106"/>
  <c r="C65" i="106"/>
  <c r="C114" i="106"/>
  <c r="C123" i="106"/>
  <c r="C200" i="106"/>
  <c r="C216" i="106"/>
  <c r="C252" i="106"/>
  <c r="C274" i="106"/>
  <c r="C278" i="106"/>
  <c r="C288" i="106"/>
  <c r="C319" i="106"/>
  <c r="K331" i="106"/>
  <c r="C339" i="106"/>
  <c r="K347" i="106"/>
  <c r="C366" i="106"/>
  <c r="K366" i="106" s="1"/>
  <c r="C406" i="106"/>
  <c r="K423" i="106"/>
  <c r="K431" i="106" s="1"/>
  <c r="C426" i="106"/>
  <c r="K426" i="106" s="1"/>
  <c r="C440" i="106"/>
  <c r="C446" i="106"/>
  <c r="C448" i="106"/>
  <c r="K455" i="106"/>
  <c r="C474" i="106"/>
  <c r="K474" i="106" s="1"/>
  <c r="K491" i="106"/>
  <c r="C525" i="106"/>
  <c r="K525" i="106" s="1"/>
  <c r="C706" i="106"/>
  <c r="K706" i="106" s="1"/>
  <c r="K714" i="106"/>
  <c r="J813" i="106"/>
  <c r="K419" i="106"/>
  <c r="K475" i="106"/>
  <c r="C547" i="106"/>
  <c r="C545" i="106"/>
  <c r="C543" i="106"/>
  <c r="C553" i="106"/>
  <c r="C551" i="106"/>
  <c r="C943" i="106"/>
  <c r="C947" i="106"/>
  <c r="C939" i="106"/>
  <c r="K939" i="106" s="1"/>
  <c r="C938" i="106"/>
  <c r="K938" i="106" s="1"/>
  <c r="C940" i="106"/>
  <c r="C941" i="106"/>
  <c r="C15" i="106"/>
  <c r="M48" i="106"/>
  <c r="C57" i="106"/>
  <c r="K57" i="106" s="1"/>
  <c r="C69" i="106"/>
  <c r="M78" i="106"/>
  <c r="C93" i="106"/>
  <c r="K93" i="106" s="1"/>
  <c r="M96" i="106"/>
  <c r="O128" i="106"/>
  <c r="O132" i="106"/>
  <c r="C149" i="106"/>
  <c r="K149" i="106" s="1"/>
  <c r="M151" i="106"/>
  <c r="O164" i="106"/>
  <c r="K203" i="106"/>
  <c r="C206" i="106"/>
  <c r="K209" i="106"/>
  <c r="C212" i="106"/>
  <c r="C242" i="106"/>
  <c r="M257" i="106"/>
  <c r="M268" i="106"/>
  <c r="O272" i="106"/>
  <c r="O308" i="106"/>
  <c r="C311" i="106"/>
  <c r="K311" i="106" s="1"/>
  <c r="O314" i="106"/>
  <c r="M316" i="106"/>
  <c r="M326" i="106"/>
  <c r="J330" i="106"/>
  <c r="C335" i="106"/>
  <c r="C343" i="106"/>
  <c r="M349" i="106"/>
  <c r="M365" i="106"/>
  <c r="M367" i="106"/>
  <c r="O379" i="106"/>
  <c r="M380" i="106"/>
  <c r="C410" i="106"/>
  <c r="C414" i="106"/>
  <c r="K421" i="106"/>
  <c r="C431" i="106"/>
  <c r="C424" i="106"/>
  <c r="K424" i="106" s="1"/>
  <c r="C432" i="106"/>
  <c r="M437" i="106"/>
  <c r="O462" i="106"/>
  <c r="J475" i="106"/>
  <c r="C483" i="106"/>
  <c r="K483" i="106" s="1"/>
  <c r="O493" i="106"/>
  <c r="C509" i="106"/>
  <c r="K509" i="106" s="1"/>
  <c r="M514" i="106"/>
  <c r="C575" i="106"/>
  <c r="K581" i="106"/>
  <c r="C613" i="106"/>
  <c r="J666" i="106"/>
  <c r="J694" i="106"/>
  <c r="O704" i="106"/>
  <c r="C792" i="106"/>
  <c r="K792" i="106" s="1"/>
  <c r="C816" i="106"/>
  <c r="K816" i="106" s="1"/>
  <c r="K848" i="106"/>
  <c r="K893" i="106"/>
  <c r="J941" i="106"/>
  <c r="K941" i="106"/>
  <c r="C1011" i="106"/>
  <c r="K1011" i="106" s="1"/>
  <c r="J1034" i="106"/>
  <c r="K957" i="106"/>
  <c r="C584" i="106"/>
  <c r="C580" i="106"/>
  <c r="C581" i="106"/>
  <c r="C622" i="106"/>
  <c r="C626" i="106"/>
  <c r="C616" i="106"/>
  <c r="C614" i="106"/>
  <c r="C620" i="106"/>
  <c r="C617" i="106"/>
  <c r="C630" i="106"/>
  <c r="C628" i="106"/>
  <c r="C624" i="106"/>
  <c r="C631" i="106"/>
  <c r="C662" i="106"/>
  <c r="K662" i="106" s="1"/>
  <c r="C658" i="106"/>
  <c r="C654" i="106"/>
  <c r="K654" i="106" s="1"/>
  <c r="C653" i="106"/>
  <c r="K653" i="106" s="1"/>
  <c r="C666" i="106"/>
  <c r="K666" i="106" s="1"/>
  <c r="C667" i="106"/>
  <c r="C702" i="106"/>
  <c r="C686" i="106"/>
  <c r="C698" i="106"/>
  <c r="K698" i="106" s="1"/>
  <c r="C703" i="106"/>
  <c r="C694" i="106"/>
  <c r="K694" i="106" s="1"/>
  <c r="C722" i="106"/>
  <c r="C730" i="106"/>
  <c r="C734" i="106"/>
  <c r="K734" i="106" s="1"/>
  <c r="C736" i="106"/>
  <c r="C726" i="106"/>
  <c r="C770" i="106"/>
  <c r="C761" i="106"/>
  <c r="C772" i="106"/>
  <c r="C775" i="106"/>
  <c r="C762" i="106"/>
  <c r="C758" i="106"/>
  <c r="C766" i="106"/>
  <c r="C763" i="106"/>
  <c r="C759" i="106"/>
  <c r="C768" i="106"/>
  <c r="C764" i="106"/>
  <c r="C760" i="106"/>
  <c r="C808" i="106"/>
  <c r="C797" i="106"/>
  <c r="C794" i="106"/>
  <c r="C811" i="106"/>
  <c r="C798" i="106"/>
  <c r="C804" i="106"/>
  <c r="C802" i="106"/>
  <c r="C795" i="106"/>
  <c r="C810" i="106"/>
  <c r="C799" i="106"/>
  <c r="C796" i="106"/>
  <c r="C806" i="106"/>
  <c r="C830" i="106"/>
  <c r="C831" i="106"/>
  <c r="C832" i="106"/>
  <c r="K832" i="106" s="1"/>
  <c r="C846" i="106"/>
  <c r="C847" i="106"/>
  <c r="C833" i="106"/>
  <c r="C838" i="106"/>
  <c r="C835" i="106"/>
  <c r="C834" i="106"/>
  <c r="C836" i="106"/>
  <c r="C880" i="106"/>
  <c r="C883" i="106"/>
  <c r="C870" i="106"/>
  <c r="C866" i="106"/>
  <c r="C876" i="106"/>
  <c r="C874" i="106"/>
  <c r="C871" i="106"/>
  <c r="C882" i="106"/>
  <c r="C872" i="106"/>
  <c r="C867" i="106"/>
  <c r="C868" i="106"/>
  <c r="C869" i="106"/>
  <c r="C918" i="106"/>
  <c r="K918" i="106" s="1"/>
  <c r="C913" i="106"/>
  <c r="C906" i="106"/>
  <c r="K906" i="106" s="1"/>
  <c r="C905" i="106"/>
  <c r="K905" i="106" s="1"/>
  <c r="C917" i="106"/>
  <c r="K909" i="106"/>
  <c r="K917" i="106" s="1"/>
  <c r="C902" i="106"/>
  <c r="C934" i="106"/>
  <c r="C935" i="106"/>
  <c r="K927" i="106"/>
  <c r="K935" i="106" s="1"/>
  <c r="C925" i="106"/>
  <c r="K925" i="106" s="1"/>
  <c r="C921" i="106"/>
  <c r="K921" i="106" s="1"/>
  <c r="C929" i="106"/>
  <c r="K929" i="106" s="1"/>
  <c r="C933" i="106"/>
  <c r="C922" i="106"/>
  <c r="C937" i="106"/>
  <c r="C928" i="106"/>
  <c r="K928" i="106" s="1"/>
  <c r="K16" i="106"/>
  <c r="C61" i="106"/>
  <c r="K61" i="106" s="1"/>
  <c r="C116" i="106"/>
  <c r="C155" i="106"/>
  <c r="C203" i="106"/>
  <c r="K229" i="106"/>
  <c r="C238" i="106"/>
  <c r="C281" i="106"/>
  <c r="K281" i="106" s="1"/>
  <c r="K332" i="106"/>
  <c r="C417" i="106"/>
  <c r="K417" i="106" s="1"/>
  <c r="C436" i="106"/>
  <c r="K436" i="106" s="1"/>
  <c r="K471" i="106"/>
  <c r="C479" i="106"/>
  <c r="K479" i="106" s="1"/>
  <c r="C577" i="106"/>
  <c r="J646" i="106"/>
  <c r="K711" i="106"/>
  <c r="K719" i="106" s="1"/>
  <c r="C725" i="106"/>
  <c r="K725" i="106" s="1"/>
  <c r="C815" i="106"/>
  <c r="K815" i="106" s="1"/>
  <c r="C842" i="106"/>
  <c r="C886" i="106"/>
  <c r="K886" i="106" s="1"/>
  <c r="C924" i="106"/>
  <c r="C930" i="106"/>
  <c r="K930" i="106" s="1"/>
  <c r="K961" i="106"/>
  <c r="C995" i="106"/>
  <c r="C996" i="106"/>
  <c r="C1010" i="106"/>
  <c r="K1010" i="106" s="1"/>
  <c r="M527" i="106"/>
  <c r="M538" i="106"/>
  <c r="M560" i="106"/>
  <c r="M564" i="106"/>
  <c r="K560" i="106"/>
  <c r="M571" i="106"/>
  <c r="O597" i="106"/>
  <c r="M653" i="106"/>
  <c r="M654" i="106"/>
  <c r="K708" i="106"/>
  <c r="M722" i="106"/>
  <c r="K752" i="106"/>
  <c r="M830" i="106"/>
  <c r="K851" i="106"/>
  <c r="K920" i="106"/>
  <c r="K923" i="106"/>
  <c r="K924" i="106"/>
  <c r="K926" i="106"/>
  <c r="K942" i="106"/>
  <c r="O958" i="106"/>
  <c r="K995" i="106"/>
  <c r="M1015" i="106"/>
  <c r="O1030" i="106"/>
  <c r="O1031" i="106"/>
  <c r="M542" i="106"/>
  <c r="M544" i="106"/>
  <c r="K637" i="106"/>
  <c r="O677" i="106"/>
  <c r="M691" i="106"/>
  <c r="M707" i="106"/>
  <c r="K812" i="106"/>
  <c r="K833" i="106"/>
  <c r="K940" i="106"/>
  <c r="K959" i="106"/>
  <c r="K993" i="106"/>
  <c r="K1031" i="106"/>
  <c r="K1032" i="106"/>
  <c r="K1033" i="106"/>
  <c r="K601" i="106"/>
  <c r="K718" i="106"/>
  <c r="K748" i="106"/>
  <c r="M851" i="106"/>
  <c r="K857" i="106"/>
  <c r="M875" i="106"/>
  <c r="M923" i="106"/>
  <c r="M1010" i="106"/>
  <c r="M1011" i="106"/>
  <c r="M520" i="106"/>
  <c r="M524" i="106"/>
  <c r="M562" i="106"/>
  <c r="O596" i="106"/>
  <c r="K671" i="106"/>
  <c r="K672" i="106"/>
  <c r="M688" i="106"/>
  <c r="K710" i="106"/>
  <c r="M724" i="106"/>
  <c r="K730" i="106"/>
  <c r="K745" i="106"/>
  <c r="O816" i="106"/>
  <c r="M907" i="106"/>
  <c r="J926" i="106"/>
  <c r="J961" i="106"/>
  <c r="K1016" i="106"/>
  <c r="K1028" i="106"/>
  <c r="K1029" i="106"/>
  <c r="J525" i="106"/>
  <c r="K674" i="106"/>
  <c r="J706" i="106"/>
  <c r="O718" i="106"/>
  <c r="K779" i="106"/>
  <c r="K887" i="106"/>
  <c r="O929" i="106"/>
  <c r="J942" i="106"/>
  <c r="O974" i="106"/>
  <c r="M979" i="106"/>
  <c r="K1015" i="106"/>
  <c r="M1031" i="106"/>
  <c r="J650" i="106"/>
  <c r="J690" i="106"/>
  <c r="O705" i="106"/>
  <c r="O725" i="106"/>
  <c r="J734" i="106"/>
  <c r="K743" i="106"/>
  <c r="K761" i="106"/>
  <c r="K797" i="106"/>
  <c r="K897" i="106"/>
  <c r="M906" i="106"/>
  <c r="M916" i="106"/>
  <c r="K934" i="106"/>
  <c r="K977" i="106"/>
  <c r="K997" i="106"/>
  <c r="K1013" i="106"/>
  <c r="O584" i="106"/>
  <c r="K599" i="106"/>
  <c r="M655" i="106"/>
  <c r="K707" i="106"/>
  <c r="M858" i="106"/>
  <c r="K869" i="106"/>
  <c r="K969" i="106"/>
  <c r="M1016" i="106"/>
  <c r="K10" i="106"/>
  <c r="O19" i="106"/>
  <c r="C13" i="106"/>
  <c r="G15" i="106"/>
  <c r="N15" i="106" s="1"/>
  <c r="C21" i="106"/>
  <c r="K21" i="106" s="1"/>
  <c r="H2" i="106"/>
  <c r="O2" i="106" s="1"/>
  <c r="D4" i="106"/>
  <c r="L4" i="106" s="1"/>
  <c r="H6" i="106"/>
  <c r="O6" i="106" s="1"/>
  <c r="D8" i="106"/>
  <c r="L8" i="106" s="1"/>
  <c r="N9" i="106"/>
  <c r="N17" i="106" s="1"/>
  <c r="H10" i="106"/>
  <c r="O10" i="106" s="1"/>
  <c r="B11" i="106"/>
  <c r="D12" i="106"/>
  <c r="L12" i="106" s="1"/>
  <c r="F13" i="106"/>
  <c r="H14" i="106"/>
  <c r="O14" i="106" s="1"/>
  <c r="B15" i="106"/>
  <c r="D16" i="106"/>
  <c r="L16" i="106" s="1"/>
  <c r="F17" i="106"/>
  <c r="H18" i="106"/>
  <c r="O18" i="106" s="1"/>
  <c r="B19" i="106"/>
  <c r="D20" i="106"/>
  <c r="L20" i="106" s="1"/>
  <c r="H22" i="106"/>
  <c r="O22" i="106" s="1"/>
  <c r="D24" i="106"/>
  <c r="L24" i="106" s="1"/>
  <c r="H26" i="106"/>
  <c r="O26" i="106" s="1"/>
  <c r="B36" i="106"/>
  <c r="B37" i="106"/>
  <c r="J27" i="106"/>
  <c r="J35" i="106" s="1"/>
  <c r="D28" i="106"/>
  <c r="L28" i="106" s="1"/>
  <c r="H30" i="106"/>
  <c r="O30" i="106" s="1"/>
  <c r="B31" i="106"/>
  <c r="F33" i="106"/>
  <c r="H34" i="106"/>
  <c r="O34" i="106" s="1"/>
  <c r="B35" i="106"/>
  <c r="G37" i="106"/>
  <c r="N37" i="106" s="1"/>
  <c r="O56" i="106"/>
  <c r="K70" i="106"/>
  <c r="O81" i="106"/>
  <c r="O89" i="106" s="1"/>
  <c r="H90" i="106"/>
  <c r="O90" i="106" s="1"/>
  <c r="H86" i="106"/>
  <c r="O86" i="106" s="1"/>
  <c r="H82" i="106"/>
  <c r="O82" i="106" s="1"/>
  <c r="H78" i="106"/>
  <c r="O78" i="106" s="1"/>
  <c r="H74" i="106"/>
  <c r="O74" i="106" s="1"/>
  <c r="H91" i="106"/>
  <c r="H87" i="106"/>
  <c r="H83" i="106"/>
  <c r="O83" i="106" s="1"/>
  <c r="H79" i="106"/>
  <c r="O79" i="106" s="1"/>
  <c r="H75" i="106"/>
  <c r="O75" i="106" s="1"/>
  <c r="H88" i="106"/>
  <c r="O88" i="106" s="1"/>
  <c r="H84" i="106"/>
  <c r="O84" i="106" s="1"/>
  <c r="H80" i="106"/>
  <c r="O80" i="106" s="1"/>
  <c r="H76" i="106"/>
  <c r="O76" i="106" s="1"/>
  <c r="M92" i="106"/>
  <c r="O100" i="106"/>
  <c r="O105" i="106"/>
  <c r="D107" i="106"/>
  <c r="B127" i="106"/>
  <c r="B123" i="106"/>
  <c r="B119" i="106"/>
  <c r="B115" i="106"/>
  <c r="B111" i="106"/>
  <c r="B124" i="106"/>
  <c r="B120" i="106"/>
  <c r="B116" i="106"/>
  <c r="B112" i="106"/>
  <c r="B125" i="106"/>
  <c r="B121" i="106"/>
  <c r="B122" i="106"/>
  <c r="B114" i="106"/>
  <c r="B118" i="106"/>
  <c r="B113" i="106"/>
  <c r="K117" i="106"/>
  <c r="K125" i="106" s="1"/>
  <c r="J117" i="106"/>
  <c r="J125" i="106" s="1"/>
  <c r="G119" i="106"/>
  <c r="N119" i="106" s="1"/>
  <c r="J190" i="106"/>
  <c r="K205" i="106"/>
  <c r="J205" i="106"/>
  <c r="G5" i="106"/>
  <c r="N5" i="106" s="1"/>
  <c r="J6" i="106"/>
  <c r="J10" i="106"/>
  <c r="D11" i="106"/>
  <c r="L11" i="106" s="1"/>
  <c r="H13" i="106"/>
  <c r="J14" i="106"/>
  <c r="D15" i="106"/>
  <c r="L15" i="106" s="1"/>
  <c r="H17" i="106"/>
  <c r="J18" i="106"/>
  <c r="D19" i="106"/>
  <c r="L19" i="106" s="1"/>
  <c r="J22" i="106"/>
  <c r="J26" i="106"/>
  <c r="D36" i="106"/>
  <c r="L36" i="106" s="1"/>
  <c r="D37" i="106"/>
  <c r="L37" i="106" s="1"/>
  <c r="L27" i="106"/>
  <c r="L35" i="106" s="1"/>
  <c r="H29" i="106"/>
  <c r="O29" i="106" s="1"/>
  <c r="J30" i="106"/>
  <c r="D31" i="106"/>
  <c r="L31" i="106" s="1"/>
  <c r="H33" i="106"/>
  <c r="J34" i="106"/>
  <c r="D35" i="106"/>
  <c r="H41" i="106"/>
  <c r="O41" i="106" s="1"/>
  <c r="H49" i="106"/>
  <c r="J91" i="106"/>
  <c r="K106" i="106"/>
  <c r="J126" i="106"/>
  <c r="C2" i="106"/>
  <c r="K2" i="106" s="1"/>
  <c r="G4" i="106"/>
  <c r="N4" i="106" s="1"/>
  <c r="C6" i="106"/>
  <c r="K6" i="106" s="1"/>
  <c r="G8" i="106"/>
  <c r="N8" i="106" s="1"/>
  <c r="C10" i="106"/>
  <c r="E11" i="106"/>
  <c r="G12" i="106"/>
  <c r="N12" i="106" s="1"/>
  <c r="I13" i="106"/>
  <c r="C14" i="106"/>
  <c r="K14" i="106" s="1"/>
  <c r="E15" i="106"/>
  <c r="G16" i="106"/>
  <c r="N16" i="106" s="1"/>
  <c r="I17" i="106"/>
  <c r="C18" i="106"/>
  <c r="K18" i="106" s="1"/>
  <c r="E19" i="106"/>
  <c r="M19" i="106" s="1"/>
  <c r="G20" i="106"/>
  <c r="N20" i="106" s="1"/>
  <c r="C22" i="106"/>
  <c r="K22" i="106" s="1"/>
  <c r="G24" i="106"/>
  <c r="N24" i="106" s="1"/>
  <c r="C26" i="106"/>
  <c r="K26" i="106" s="1"/>
  <c r="M27" i="106"/>
  <c r="M35" i="106" s="1"/>
  <c r="G28" i="106"/>
  <c r="N28" i="106" s="1"/>
  <c r="C30" i="106"/>
  <c r="K30" i="106" s="1"/>
  <c r="E31" i="106"/>
  <c r="G32" i="106"/>
  <c r="N32" i="106" s="1"/>
  <c r="I33" i="106"/>
  <c r="C34" i="106"/>
  <c r="K34" i="106" s="1"/>
  <c r="E35" i="106"/>
  <c r="F36" i="106"/>
  <c r="M36" i="106" s="1"/>
  <c r="J55" i="106"/>
  <c r="J66" i="106"/>
  <c r="J70" i="106"/>
  <c r="C90" i="106"/>
  <c r="K90" i="106" s="1"/>
  <c r="C86" i="106"/>
  <c r="C82" i="106"/>
  <c r="K82" i="106" s="1"/>
  <c r="C78" i="106"/>
  <c r="C74" i="106"/>
  <c r="K74" i="106" s="1"/>
  <c r="C91" i="106"/>
  <c r="K91" i="106" s="1"/>
  <c r="C87" i="106"/>
  <c r="C83" i="106"/>
  <c r="C79" i="106"/>
  <c r="K79" i="106" s="1"/>
  <c r="C75" i="106"/>
  <c r="K75" i="106" s="1"/>
  <c r="C88" i="106"/>
  <c r="C84" i="106"/>
  <c r="C80" i="106"/>
  <c r="C76" i="106"/>
  <c r="C85" i="106"/>
  <c r="C89" i="106"/>
  <c r="D95" i="106"/>
  <c r="L95" i="106" s="1"/>
  <c r="H162" i="106"/>
  <c r="O162" i="106" s="1"/>
  <c r="H158" i="106"/>
  <c r="O158" i="106" s="1"/>
  <c r="H154" i="106"/>
  <c r="O154" i="106" s="1"/>
  <c r="H150" i="106"/>
  <c r="O150" i="106" s="1"/>
  <c r="H146" i="106"/>
  <c r="O146" i="106" s="1"/>
  <c r="H163" i="106"/>
  <c r="O163" i="106" s="1"/>
  <c r="H159" i="106"/>
  <c r="H155" i="106"/>
  <c r="H151" i="106"/>
  <c r="O151" i="106" s="1"/>
  <c r="H147" i="106"/>
  <c r="O147" i="106" s="1"/>
  <c r="H160" i="106"/>
  <c r="O160" i="106" s="1"/>
  <c r="H156" i="106"/>
  <c r="O156" i="106" s="1"/>
  <c r="H152" i="106"/>
  <c r="O152" i="106" s="1"/>
  <c r="H148" i="106"/>
  <c r="O148" i="106" s="1"/>
  <c r="O153" i="106"/>
  <c r="O161" i="106" s="1"/>
  <c r="H161" i="106"/>
  <c r="H157" i="106"/>
  <c r="J170" i="106"/>
  <c r="D72" i="106"/>
  <c r="L72" i="106" s="1"/>
  <c r="D68" i="106"/>
  <c r="L68" i="106" s="1"/>
  <c r="D64" i="106"/>
  <c r="L64" i="106" s="1"/>
  <c r="D60" i="106"/>
  <c r="L60" i="106" s="1"/>
  <c r="D56" i="106"/>
  <c r="L56" i="106" s="1"/>
  <c r="D73" i="106"/>
  <c r="L73" i="106" s="1"/>
  <c r="D69" i="106"/>
  <c r="L69" i="106" s="1"/>
  <c r="D65" i="106"/>
  <c r="L65" i="106" s="1"/>
  <c r="D61" i="106"/>
  <c r="L61" i="106" s="1"/>
  <c r="D57" i="106"/>
  <c r="L57" i="106" s="1"/>
  <c r="D70" i="106"/>
  <c r="L70" i="106" s="1"/>
  <c r="D66" i="106"/>
  <c r="L66" i="106" s="1"/>
  <c r="D62" i="106"/>
  <c r="L62" i="106" s="1"/>
  <c r="D58" i="106"/>
  <c r="L58" i="106" s="1"/>
  <c r="G108" i="106"/>
  <c r="N108" i="106" s="1"/>
  <c r="G104" i="106"/>
  <c r="N104" i="106" s="1"/>
  <c r="G100" i="106"/>
  <c r="N100" i="106" s="1"/>
  <c r="G96" i="106"/>
  <c r="N96" i="106" s="1"/>
  <c r="G92" i="106"/>
  <c r="N92" i="106" s="1"/>
  <c r="G105" i="106"/>
  <c r="N105" i="106" s="1"/>
  <c r="G101" i="106"/>
  <c r="N101" i="106" s="1"/>
  <c r="G97" i="106"/>
  <c r="N97" i="106" s="1"/>
  <c r="G93" i="106"/>
  <c r="N93" i="106" s="1"/>
  <c r="G106" i="106"/>
  <c r="N106" i="106" s="1"/>
  <c r="G102" i="106"/>
  <c r="N102" i="106" s="1"/>
  <c r="G98" i="106"/>
  <c r="N98" i="106" s="1"/>
  <c r="G94" i="106"/>
  <c r="N94" i="106" s="1"/>
  <c r="G109" i="106"/>
  <c r="N109" i="106" s="1"/>
  <c r="N99" i="106"/>
  <c r="N107" i="106" s="1"/>
  <c r="D180" i="106"/>
  <c r="L180" i="106" s="1"/>
  <c r="D176" i="106"/>
  <c r="L176" i="106" s="1"/>
  <c r="D172" i="106"/>
  <c r="L172" i="106" s="1"/>
  <c r="D168" i="106"/>
  <c r="L168" i="106" s="1"/>
  <c r="D164" i="106"/>
  <c r="L164" i="106" s="1"/>
  <c r="D181" i="106"/>
  <c r="L181" i="106" s="1"/>
  <c r="D177" i="106"/>
  <c r="L177" i="106" s="1"/>
  <c r="D173" i="106"/>
  <c r="L173" i="106" s="1"/>
  <c r="D169" i="106"/>
  <c r="L169" i="106" s="1"/>
  <c r="D165" i="106"/>
  <c r="L165" i="106" s="1"/>
  <c r="D178" i="106"/>
  <c r="L178" i="106" s="1"/>
  <c r="D174" i="106"/>
  <c r="L174" i="106" s="1"/>
  <c r="D170" i="106"/>
  <c r="L170" i="106" s="1"/>
  <c r="D166" i="106"/>
  <c r="L166" i="106" s="1"/>
  <c r="D167" i="106"/>
  <c r="L167" i="106" s="1"/>
  <c r="L171" i="106"/>
  <c r="L179" i="106" s="1"/>
  <c r="D175" i="106"/>
  <c r="L175" i="106" s="1"/>
  <c r="D2" i="106"/>
  <c r="L2" i="106" s="1"/>
  <c r="H4" i="106"/>
  <c r="O4" i="106" s="1"/>
  <c r="D6" i="106"/>
  <c r="L6" i="106" s="1"/>
  <c r="H8" i="106"/>
  <c r="O8" i="106" s="1"/>
  <c r="J9" i="106"/>
  <c r="J17" i="106" s="1"/>
  <c r="D10" i="106"/>
  <c r="L10" i="106" s="1"/>
  <c r="F11" i="106"/>
  <c r="H12" i="106"/>
  <c r="O12" i="106" s="1"/>
  <c r="B13" i="106"/>
  <c r="D14" i="106"/>
  <c r="L14" i="106" s="1"/>
  <c r="F15" i="106"/>
  <c r="H16" i="106"/>
  <c r="O16" i="106" s="1"/>
  <c r="D18" i="106"/>
  <c r="L18" i="106" s="1"/>
  <c r="H20" i="106"/>
  <c r="O20" i="106" s="1"/>
  <c r="D22" i="106"/>
  <c r="L22" i="106" s="1"/>
  <c r="H24" i="106"/>
  <c r="O24" i="106" s="1"/>
  <c r="B25" i="106"/>
  <c r="D26" i="106"/>
  <c r="L26" i="106" s="1"/>
  <c r="N27" i="106"/>
  <c r="N35" i="106" s="1"/>
  <c r="H28" i="106"/>
  <c r="O28" i="106" s="1"/>
  <c r="B29" i="106"/>
  <c r="D30" i="106"/>
  <c r="L30" i="106" s="1"/>
  <c r="F31" i="106"/>
  <c r="H32" i="106"/>
  <c r="O32" i="106" s="1"/>
  <c r="B33" i="106"/>
  <c r="D34" i="106"/>
  <c r="L34" i="106" s="1"/>
  <c r="F35" i="106"/>
  <c r="C54" i="106"/>
  <c r="K54" i="106" s="1"/>
  <c r="C50" i="106"/>
  <c r="K50" i="106" s="1"/>
  <c r="C46" i="106"/>
  <c r="K46" i="106" s="1"/>
  <c r="C42" i="106"/>
  <c r="K42" i="106" s="1"/>
  <c r="C38" i="106"/>
  <c r="K38" i="106" s="1"/>
  <c r="C55" i="106"/>
  <c r="K55" i="106" s="1"/>
  <c r="C51" i="106"/>
  <c r="C47" i="106"/>
  <c r="C43" i="106"/>
  <c r="K43" i="106" s="1"/>
  <c r="C52" i="106"/>
  <c r="C48" i="106"/>
  <c r="C44" i="106"/>
  <c r="K44" i="106" s="1"/>
  <c r="C40" i="106"/>
  <c r="K40" i="106" s="1"/>
  <c r="M60" i="106"/>
  <c r="G72" i="106"/>
  <c r="N72" i="106" s="1"/>
  <c r="G68" i="106"/>
  <c r="N68" i="106" s="1"/>
  <c r="G64" i="106"/>
  <c r="N64" i="106" s="1"/>
  <c r="G60" i="106"/>
  <c r="N60" i="106" s="1"/>
  <c r="G56" i="106"/>
  <c r="N56" i="106" s="1"/>
  <c r="G73" i="106"/>
  <c r="N73" i="106" s="1"/>
  <c r="G69" i="106"/>
  <c r="N69" i="106" s="1"/>
  <c r="G65" i="106"/>
  <c r="N65" i="106" s="1"/>
  <c r="G61" i="106"/>
  <c r="N61" i="106" s="1"/>
  <c r="G57" i="106"/>
  <c r="N57" i="106" s="1"/>
  <c r="G70" i="106"/>
  <c r="N70" i="106" s="1"/>
  <c r="G66" i="106"/>
  <c r="N66" i="106" s="1"/>
  <c r="G62" i="106"/>
  <c r="N62" i="106" s="1"/>
  <c r="G58" i="106"/>
  <c r="N58" i="106" s="1"/>
  <c r="N63" i="106"/>
  <c r="N71" i="106" s="1"/>
  <c r="H85" i="106"/>
  <c r="H89" i="106"/>
  <c r="M108" i="106"/>
  <c r="B110" i="106"/>
  <c r="O112" i="106"/>
  <c r="G178" i="106"/>
  <c r="N178" i="106" s="1"/>
  <c r="G174" i="106"/>
  <c r="N174" i="106" s="1"/>
  <c r="G170" i="106"/>
  <c r="N170" i="106" s="1"/>
  <c r="G166" i="106"/>
  <c r="N166" i="106" s="1"/>
  <c r="N171" i="106"/>
  <c r="N179" i="106" s="1"/>
  <c r="G180" i="106"/>
  <c r="N180" i="106" s="1"/>
  <c r="G176" i="106"/>
  <c r="N176" i="106" s="1"/>
  <c r="G172" i="106"/>
  <c r="N172" i="106" s="1"/>
  <c r="G168" i="106"/>
  <c r="N168" i="106" s="1"/>
  <c r="G164" i="106"/>
  <c r="N164" i="106" s="1"/>
  <c r="G177" i="106"/>
  <c r="N177" i="106" s="1"/>
  <c r="G175" i="106"/>
  <c r="N175" i="106" s="1"/>
  <c r="G179" i="106"/>
  <c r="G169" i="106"/>
  <c r="N169" i="106" s="1"/>
  <c r="G167" i="106"/>
  <c r="N167" i="106" s="1"/>
  <c r="G165" i="106"/>
  <c r="N165" i="106" s="1"/>
  <c r="G173" i="106"/>
  <c r="N173" i="106" s="1"/>
  <c r="G11" i="106"/>
  <c r="N11" i="106" s="1"/>
  <c r="C17" i="106"/>
  <c r="C25" i="106"/>
  <c r="C29" i="106"/>
  <c r="G31" i="106"/>
  <c r="N31" i="106" s="1"/>
  <c r="C33" i="106"/>
  <c r="G35" i="106"/>
  <c r="D67" i="106"/>
  <c r="L67" i="106" s="1"/>
  <c r="D71" i="106"/>
  <c r="N117" i="106"/>
  <c r="N125" i="106" s="1"/>
  <c r="G126" i="106"/>
  <c r="N126" i="106" s="1"/>
  <c r="G122" i="106"/>
  <c r="N122" i="106" s="1"/>
  <c r="G124" i="106"/>
  <c r="N124" i="106" s="1"/>
  <c r="G120" i="106"/>
  <c r="N120" i="106" s="1"/>
  <c r="G127" i="106"/>
  <c r="N127" i="106" s="1"/>
  <c r="G115" i="106"/>
  <c r="N115" i="106" s="1"/>
  <c r="G114" i="106"/>
  <c r="N114" i="106" s="1"/>
  <c r="G112" i="106"/>
  <c r="N112" i="106" s="1"/>
  <c r="G121" i="106"/>
  <c r="N121" i="106" s="1"/>
  <c r="G125" i="106"/>
  <c r="G116" i="106"/>
  <c r="N116" i="106" s="1"/>
  <c r="G123" i="106"/>
  <c r="N123" i="106" s="1"/>
  <c r="G113" i="106"/>
  <c r="N113" i="106" s="1"/>
  <c r="C144" i="106"/>
  <c r="C140" i="106"/>
  <c r="C136" i="106"/>
  <c r="C132" i="106"/>
  <c r="K132" i="106" s="1"/>
  <c r="C128" i="106"/>
  <c r="K128" i="106" s="1"/>
  <c r="C142" i="106"/>
  <c r="K142" i="106" s="1"/>
  <c r="C138" i="106"/>
  <c r="C134" i="106"/>
  <c r="C130" i="106"/>
  <c r="K130" i="106" s="1"/>
  <c r="C139" i="106"/>
  <c r="C143" i="106"/>
  <c r="C133" i="106"/>
  <c r="K133" i="106" s="1"/>
  <c r="C129" i="106"/>
  <c r="K129" i="106" s="1"/>
  <c r="C137" i="106"/>
  <c r="K137" i="106" s="1"/>
  <c r="C145" i="106"/>
  <c r="K145" i="106" s="1"/>
  <c r="K135" i="106"/>
  <c r="K143" i="106" s="1"/>
  <c r="B270" i="106"/>
  <c r="B266" i="106"/>
  <c r="B262" i="106"/>
  <c r="B258" i="106"/>
  <c r="B254" i="106"/>
  <c r="B271" i="106"/>
  <c r="B267" i="106"/>
  <c r="B263" i="106"/>
  <c r="B259" i="106"/>
  <c r="B255" i="106"/>
  <c r="B268" i="106"/>
  <c r="B264" i="106"/>
  <c r="B260" i="106"/>
  <c r="B256" i="106"/>
  <c r="B269" i="106"/>
  <c r="B257" i="106"/>
  <c r="B265" i="106"/>
  <c r="K261" i="106"/>
  <c r="K269" i="106" s="1"/>
  <c r="J261" i="106"/>
  <c r="J269" i="106" s="1"/>
  <c r="G13" i="106"/>
  <c r="N13" i="106" s="1"/>
  <c r="O45" i="106"/>
  <c r="O53" i="106" s="1"/>
  <c r="H54" i="106"/>
  <c r="O54" i="106" s="1"/>
  <c r="H50" i="106"/>
  <c r="O50" i="106" s="1"/>
  <c r="H46" i="106"/>
  <c r="O46" i="106" s="1"/>
  <c r="H42" i="106"/>
  <c r="O42" i="106" s="1"/>
  <c r="H38" i="106"/>
  <c r="O38" i="106" s="1"/>
  <c r="H55" i="106"/>
  <c r="O55" i="106" s="1"/>
  <c r="H51" i="106"/>
  <c r="H47" i="106"/>
  <c r="H43" i="106"/>
  <c r="O43" i="106" s="1"/>
  <c r="H39" i="106"/>
  <c r="O39" i="106" s="1"/>
  <c r="H52" i="106"/>
  <c r="O52" i="106" s="1"/>
  <c r="H48" i="106"/>
  <c r="O48" i="106" s="1"/>
  <c r="H44" i="106"/>
  <c r="O44" i="106" s="1"/>
  <c r="H40" i="106"/>
  <c r="O40" i="106" s="1"/>
  <c r="G107" i="106"/>
  <c r="G3" i="106"/>
  <c r="N3" i="106" s="1"/>
  <c r="G7" i="106"/>
  <c r="N7" i="106" s="1"/>
  <c r="K9" i="106"/>
  <c r="K17" i="106" s="1"/>
  <c r="G19" i="106"/>
  <c r="N19" i="106" s="1"/>
  <c r="J4" i="106"/>
  <c r="J8" i="106"/>
  <c r="L9" i="106"/>
  <c r="L17" i="106" s="1"/>
  <c r="H11" i="106"/>
  <c r="J12" i="106"/>
  <c r="D13" i="106"/>
  <c r="L13" i="106" s="1"/>
  <c r="H15" i="106"/>
  <c r="J16" i="106"/>
  <c r="J20" i="106"/>
  <c r="J24" i="106"/>
  <c r="O36" i="106"/>
  <c r="J28" i="106"/>
  <c r="D29" i="106"/>
  <c r="L29" i="106" s="1"/>
  <c r="H31" i="106"/>
  <c r="J32" i="106"/>
  <c r="D33" i="106"/>
  <c r="L33" i="106" s="1"/>
  <c r="H35" i="106"/>
  <c r="M55" i="106"/>
  <c r="O73" i="106"/>
  <c r="K78" i="106"/>
  <c r="K86" i="106"/>
  <c r="G95" i="106"/>
  <c r="N95" i="106" s="1"/>
  <c r="K98" i="106"/>
  <c r="D109" i="106"/>
  <c r="L109" i="106" s="1"/>
  <c r="D108" i="106"/>
  <c r="L108" i="106" s="1"/>
  <c r="D104" i="106"/>
  <c r="L104" i="106" s="1"/>
  <c r="D100" i="106"/>
  <c r="L100" i="106" s="1"/>
  <c r="D96" i="106"/>
  <c r="L96" i="106" s="1"/>
  <c r="D92" i="106"/>
  <c r="L92" i="106" s="1"/>
  <c r="D105" i="106"/>
  <c r="L105" i="106" s="1"/>
  <c r="D101" i="106"/>
  <c r="L101" i="106" s="1"/>
  <c r="D97" i="106"/>
  <c r="L97" i="106" s="1"/>
  <c r="D93" i="106"/>
  <c r="L93" i="106" s="1"/>
  <c r="D106" i="106"/>
  <c r="L106" i="106" s="1"/>
  <c r="D102" i="106"/>
  <c r="L102" i="106" s="1"/>
  <c r="D98" i="106"/>
  <c r="L98" i="106" s="1"/>
  <c r="D94" i="106"/>
  <c r="L94" i="106" s="1"/>
  <c r="G103" i="106"/>
  <c r="N103" i="106" s="1"/>
  <c r="J106" i="106"/>
  <c r="J198" i="106"/>
  <c r="H343" i="106"/>
  <c r="O343" i="106" s="1"/>
  <c r="H339" i="106"/>
  <c r="H335" i="106"/>
  <c r="H331" i="106"/>
  <c r="O331" i="106" s="1"/>
  <c r="H327" i="106"/>
  <c r="O327" i="106" s="1"/>
  <c r="H340" i="106"/>
  <c r="H336" i="106"/>
  <c r="H332" i="106"/>
  <c r="O332" i="106" s="1"/>
  <c r="H328" i="106"/>
  <c r="O328" i="106" s="1"/>
  <c r="H342" i="106"/>
  <c r="O342" i="106" s="1"/>
  <c r="H338" i="106"/>
  <c r="O338" i="106" s="1"/>
  <c r="H334" i="106"/>
  <c r="O334" i="106" s="1"/>
  <c r="H330" i="106"/>
  <c r="O330" i="106" s="1"/>
  <c r="H326" i="106"/>
  <c r="O326" i="106" s="1"/>
  <c r="H341" i="106"/>
  <c r="O333" i="106"/>
  <c r="O341" i="106" s="1"/>
  <c r="H337" i="106"/>
  <c r="H329" i="106"/>
  <c r="O329" i="106" s="1"/>
  <c r="G17" i="106"/>
  <c r="K27" i="106"/>
  <c r="K35" i="106" s="1"/>
  <c r="C31" i="106"/>
  <c r="C35" i="106"/>
  <c r="G2" i="106"/>
  <c r="N2" i="106" s="1"/>
  <c r="C4" i="106"/>
  <c r="K4" i="106" s="1"/>
  <c r="G6" i="106"/>
  <c r="N6" i="106" s="1"/>
  <c r="C8" i="106"/>
  <c r="K8" i="106" s="1"/>
  <c r="M9" i="106"/>
  <c r="M17" i="106" s="1"/>
  <c r="G10" i="106"/>
  <c r="N10" i="106" s="1"/>
  <c r="I11" i="106"/>
  <c r="C12" i="106"/>
  <c r="K12" i="106" s="1"/>
  <c r="E13" i="106"/>
  <c r="G14" i="106"/>
  <c r="N14" i="106" s="1"/>
  <c r="I15" i="106"/>
  <c r="C20" i="106"/>
  <c r="K20" i="106" s="1"/>
  <c r="G22" i="106"/>
  <c r="N22" i="106" s="1"/>
  <c r="C24" i="106"/>
  <c r="K24" i="106" s="1"/>
  <c r="E25" i="106"/>
  <c r="M25" i="106" s="1"/>
  <c r="G26" i="106"/>
  <c r="N26" i="106" s="1"/>
  <c r="I37" i="106"/>
  <c r="O37" i="106" s="1"/>
  <c r="I35" i="106"/>
  <c r="C28" i="106"/>
  <c r="K28" i="106" s="1"/>
  <c r="E29" i="106"/>
  <c r="M29" i="106" s="1"/>
  <c r="G30" i="106"/>
  <c r="N30" i="106" s="1"/>
  <c r="I31" i="106"/>
  <c r="C32" i="106"/>
  <c r="K32" i="106" s="1"/>
  <c r="E33" i="106"/>
  <c r="M33" i="106" s="1"/>
  <c r="G34" i="106"/>
  <c r="N34" i="106" s="1"/>
  <c r="C37" i="106"/>
  <c r="M44" i="106"/>
  <c r="J46" i="106"/>
  <c r="J50" i="106"/>
  <c r="J54" i="106"/>
  <c r="J58" i="106"/>
  <c r="L63" i="106"/>
  <c r="L71" i="106" s="1"/>
  <c r="K76" i="106"/>
  <c r="J82" i="106"/>
  <c r="M84" i="106"/>
  <c r="M88" i="106"/>
  <c r="J94" i="106"/>
  <c r="G111" i="106"/>
  <c r="N111" i="106" s="1"/>
  <c r="J194" i="106"/>
  <c r="J45" i="106"/>
  <c r="J53" i="106" s="1"/>
  <c r="D46" i="106"/>
  <c r="L46" i="106" s="1"/>
  <c r="F47" i="106"/>
  <c r="B49" i="106"/>
  <c r="D50" i="106"/>
  <c r="L50" i="106" s="1"/>
  <c r="F51" i="106"/>
  <c r="B53" i="106"/>
  <c r="D54" i="106"/>
  <c r="L54" i="106" s="1"/>
  <c r="F55" i="106"/>
  <c r="H64" i="106"/>
  <c r="O64" i="106" s="1"/>
  <c r="B65" i="106"/>
  <c r="F67" i="106"/>
  <c r="H68" i="106"/>
  <c r="O68" i="106" s="1"/>
  <c r="B69" i="106"/>
  <c r="F71" i="106"/>
  <c r="H72" i="106"/>
  <c r="O72" i="106" s="1"/>
  <c r="B73" i="106"/>
  <c r="J81" i="106"/>
  <c r="J89" i="106" s="1"/>
  <c r="F83" i="106"/>
  <c r="B85" i="106"/>
  <c r="D86" i="106"/>
  <c r="L86" i="106" s="1"/>
  <c r="F87" i="106"/>
  <c r="B89" i="106"/>
  <c r="D90" i="106"/>
  <c r="L90" i="106" s="1"/>
  <c r="F91" i="106"/>
  <c r="M91" i="106" s="1"/>
  <c r="B101" i="106"/>
  <c r="F103" i="106"/>
  <c r="B105" i="106"/>
  <c r="F107" i="106"/>
  <c r="C109" i="106"/>
  <c r="K109" i="106" s="1"/>
  <c r="I127" i="106"/>
  <c r="I123" i="106"/>
  <c r="I119" i="106"/>
  <c r="I125" i="106"/>
  <c r="I121" i="106"/>
  <c r="O121" i="106" s="1"/>
  <c r="E118" i="106"/>
  <c r="E126" i="106"/>
  <c r="N153" i="106"/>
  <c r="N161" i="106" s="1"/>
  <c r="G162" i="106"/>
  <c r="N162" i="106" s="1"/>
  <c r="G158" i="106"/>
  <c r="N158" i="106" s="1"/>
  <c r="G154" i="106"/>
  <c r="N154" i="106" s="1"/>
  <c r="G150" i="106"/>
  <c r="N150" i="106" s="1"/>
  <c r="G146" i="106"/>
  <c r="N146" i="106" s="1"/>
  <c r="G160" i="106"/>
  <c r="N160" i="106" s="1"/>
  <c r="G156" i="106"/>
  <c r="N156" i="106" s="1"/>
  <c r="G152" i="106"/>
  <c r="N152" i="106" s="1"/>
  <c r="G148" i="106"/>
  <c r="N148" i="106" s="1"/>
  <c r="G157" i="106"/>
  <c r="N157" i="106" s="1"/>
  <c r="C165" i="106"/>
  <c r="K165" i="106" s="1"/>
  <c r="C169" i="106"/>
  <c r="K169" i="106" s="1"/>
  <c r="C179" i="106"/>
  <c r="O180" i="106"/>
  <c r="C199" i="106"/>
  <c r="C196" i="106"/>
  <c r="C192" i="106"/>
  <c r="C188" i="106"/>
  <c r="C184" i="106"/>
  <c r="C198" i="106"/>
  <c r="K198" i="106" s="1"/>
  <c r="C194" i="106"/>
  <c r="K194" i="106" s="1"/>
  <c r="C190" i="106"/>
  <c r="K190" i="106" s="1"/>
  <c r="C186" i="106"/>
  <c r="C182" i="106"/>
  <c r="K273" i="106"/>
  <c r="J40" i="106"/>
  <c r="J44" i="106"/>
  <c r="L45" i="106"/>
  <c r="L53" i="106" s="1"/>
  <c r="F46" i="106"/>
  <c r="M46" i="106" s="1"/>
  <c r="B48" i="106"/>
  <c r="D49" i="106"/>
  <c r="L49" i="106" s="1"/>
  <c r="F50" i="106"/>
  <c r="M50" i="106" s="1"/>
  <c r="B52" i="106"/>
  <c r="D53" i="106"/>
  <c r="F54" i="106"/>
  <c r="M54" i="106" s="1"/>
  <c r="J56" i="106"/>
  <c r="J60" i="106"/>
  <c r="B64" i="106"/>
  <c r="F66" i="106"/>
  <c r="M66" i="106" s="1"/>
  <c r="H67" i="106"/>
  <c r="B68" i="106"/>
  <c r="F70" i="106"/>
  <c r="M70" i="106" s="1"/>
  <c r="H71" i="106"/>
  <c r="B72" i="106"/>
  <c r="J76" i="106"/>
  <c r="B80" i="106"/>
  <c r="L81" i="106"/>
  <c r="L89" i="106" s="1"/>
  <c r="F82" i="106"/>
  <c r="M82" i="106" s="1"/>
  <c r="B84" i="106"/>
  <c r="D85" i="106"/>
  <c r="L85" i="106" s="1"/>
  <c r="F86" i="106"/>
  <c r="M86" i="106" s="1"/>
  <c r="B88" i="106"/>
  <c r="D89" i="106"/>
  <c r="F90" i="106"/>
  <c r="M90" i="106" s="1"/>
  <c r="F94" i="106"/>
  <c r="M94" i="106" s="1"/>
  <c r="B96" i="106"/>
  <c r="F98" i="106"/>
  <c r="M98" i="106" s="1"/>
  <c r="B100" i="106"/>
  <c r="F102" i="106"/>
  <c r="M102" i="106" s="1"/>
  <c r="H103" i="106"/>
  <c r="B104" i="106"/>
  <c r="F106" i="106"/>
  <c r="M106" i="106" s="1"/>
  <c r="B108" i="106"/>
  <c r="I111" i="106"/>
  <c r="E112" i="106"/>
  <c r="M112" i="106" s="1"/>
  <c r="I113" i="106"/>
  <c r="O113" i="106" s="1"/>
  <c r="C124" i="106"/>
  <c r="C120" i="106"/>
  <c r="C126" i="106"/>
  <c r="K126" i="106" s="1"/>
  <c r="C122" i="106"/>
  <c r="I118" i="106"/>
  <c r="C121" i="106"/>
  <c r="I122" i="106"/>
  <c r="K134" i="106"/>
  <c r="D144" i="106"/>
  <c r="L144" i="106" s="1"/>
  <c r="D140" i="106"/>
  <c r="L140" i="106" s="1"/>
  <c r="D136" i="106"/>
  <c r="L136" i="106" s="1"/>
  <c r="D132" i="106"/>
  <c r="L132" i="106" s="1"/>
  <c r="D128" i="106"/>
  <c r="L128" i="106" s="1"/>
  <c r="D145" i="106"/>
  <c r="L145" i="106" s="1"/>
  <c r="D141" i="106"/>
  <c r="L141" i="106" s="1"/>
  <c r="D137" i="106"/>
  <c r="L137" i="106" s="1"/>
  <c r="D133" i="106"/>
  <c r="L133" i="106" s="1"/>
  <c r="D129" i="106"/>
  <c r="L129" i="106" s="1"/>
  <c r="D142" i="106"/>
  <c r="L142" i="106" s="1"/>
  <c r="D138" i="106"/>
  <c r="L138" i="106" s="1"/>
  <c r="D134" i="106"/>
  <c r="L134" i="106" s="1"/>
  <c r="D130" i="106"/>
  <c r="L130" i="106" s="1"/>
  <c r="G141" i="106"/>
  <c r="N141" i="106" s="1"/>
  <c r="C159" i="106"/>
  <c r="O178" i="106"/>
  <c r="K182" i="106"/>
  <c r="K186" i="106"/>
  <c r="G191" i="106"/>
  <c r="N191" i="106" s="1"/>
  <c r="M205" i="106"/>
  <c r="G38" i="106"/>
  <c r="N38" i="106" s="1"/>
  <c r="G42" i="106"/>
  <c r="N42" i="106" s="1"/>
  <c r="M45" i="106"/>
  <c r="M53" i="106" s="1"/>
  <c r="G46" i="106"/>
  <c r="N46" i="106" s="1"/>
  <c r="I47" i="106"/>
  <c r="E49" i="106"/>
  <c r="G50" i="106"/>
  <c r="N50" i="106" s="1"/>
  <c r="I51" i="106"/>
  <c r="E53" i="106"/>
  <c r="G54" i="106"/>
  <c r="N54" i="106" s="1"/>
  <c r="I55" i="106"/>
  <c r="C56" i="106"/>
  <c r="K56" i="106" s="1"/>
  <c r="C60" i="106"/>
  <c r="K60" i="106" s="1"/>
  <c r="C64" i="106"/>
  <c r="E65" i="106"/>
  <c r="I67" i="106"/>
  <c r="C68" i="106"/>
  <c r="E69" i="106"/>
  <c r="M69" i="106" s="1"/>
  <c r="I71" i="106"/>
  <c r="C72" i="106"/>
  <c r="E73" i="106"/>
  <c r="M73" i="106" s="1"/>
  <c r="G74" i="106"/>
  <c r="N74" i="106" s="1"/>
  <c r="G78" i="106"/>
  <c r="N78" i="106" s="1"/>
  <c r="M81" i="106"/>
  <c r="M89" i="106" s="1"/>
  <c r="G82" i="106"/>
  <c r="N82" i="106" s="1"/>
  <c r="E85" i="106"/>
  <c r="M85" i="106" s="1"/>
  <c r="G86" i="106"/>
  <c r="N86" i="106" s="1"/>
  <c r="I87" i="106"/>
  <c r="E89" i="106"/>
  <c r="G90" i="106"/>
  <c r="N90" i="106" s="1"/>
  <c r="I91" i="106"/>
  <c r="C92" i="106"/>
  <c r="K92" i="106" s="1"/>
  <c r="C96" i="106"/>
  <c r="C100" i="106"/>
  <c r="I103" i="106"/>
  <c r="C104" i="106"/>
  <c r="I107" i="106"/>
  <c r="C108" i="106"/>
  <c r="K153" i="106"/>
  <c r="K161" i="106" s="1"/>
  <c r="J293" i="106"/>
  <c r="N45" i="106"/>
  <c r="N53" i="106" s="1"/>
  <c r="B47" i="106"/>
  <c r="D48" i="106"/>
  <c r="L48" i="106" s="1"/>
  <c r="F49" i="106"/>
  <c r="B51" i="106"/>
  <c r="J63" i="106"/>
  <c r="J71" i="106" s="1"/>
  <c r="F65" i="106"/>
  <c r="H66" i="106"/>
  <c r="O66" i="106" s="1"/>
  <c r="B67" i="106"/>
  <c r="F69" i="106"/>
  <c r="N81" i="106"/>
  <c r="N89" i="106" s="1"/>
  <c r="B83" i="106"/>
  <c r="F85" i="106"/>
  <c r="B87" i="106"/>
  <c r="J99" i="106"/>
  <c r="J107" i="106" s="1"/>
  <c r="F101" i="106"/>
  <c r="M101" i="106" s="1"/>
  <c r="B103" i="106"/>
  <c r="F105" i="106"/>
  <c r="M105" i="106" s="1"/>
  <c r="B107" i="106"/>
  <c r="I109" i="106"/>
  <c r="O109" i="106" s="1"/>
  <c r="E125" i="106"/>
  <c r="E121" i="106"/>
  <c r="E127" i="106"/>
  <c r="M127" i="106" s="1"/>
  <c r="E123" i="106"/>
  <c r="M123" i="106" s="1"/>
  <c r="E119" i="106"/>
  <c r="M119" i="106" s="1"/>
  <c r="O117" i="106"/>
  <c r="O125" i="106" s="1"/>
  <c r="E124" i="106"/>
  <c r="M124" i="106" s="1"/>
  <c r="O140" i="106"/>
  <c r="C160" i="106"/>
  <c r="C156" i="106"/>
  <c r="C152" i="106"/>
  <c r="C148" i="106"/>
  <c r="C162" i="106"/>
  <c r="K162" i="106" s="1"/>
  <c r="C158" i="106"/>
  <c r="C154" i="106"/>
  <c r="K154" i="106" s="1"/>
  <c r="C150" i="106"/>
  <c r="C146" i="106"/>
  <c r="K146" i="106" s="1"/>
  <c r="K158" i="106"/>
  <c r="G163" i="106"/>
  <c r="N163" i="106" s="1"/>
  <c r="N189" i="106"/>
  <c r="N197" i="106" s="1"/>
  <c r="G198" i="106"/>
  <c r="N198" i="106" s="1"/>
  <c r="G194" i="106"/>
  <c r="N194" i="106" s="1"/>
  <c r="G190" i="106"/>
  <c r="N190" i="106" s="1"/>
  <c r="G186" i="106"/>
  <c r="N186" i="106" s="1"/>
  <c r="G182" i="106"/>
  <c r="N182" i="106" s="1"/>
  <c r="G199" i="106"/>
  <c r="N199" i="106" s="1"/>
  <c r="G196" i="106"/>
  <c r="N196" i="106" s="1"/>
  <c r="G192" i="106"/>
  <c r="N192" i="106" s="1"/>
  <c r="G188" i="106"/>
  <c r="N188" i="106" s="1"/>
  <c r="G184" i="106"/>
  <c r="N184" i="106" s="1"/>
  <c r="C193" i="106"/>
  <c r="C197" i="106"/>
  <c r="J221" i="106"/>
  <c r="G49" i="106"/>
  <c r="N49" i="106" s="1"/>
  <c r="G53" i="106"/>
  <c r="K63" i="106"/>
  <c r="K71" i="106" s="1"/>
  <c r="C67" i="106"/>
  <c r="C71" i="106"/>
  <c r="G85" i="106"/>
  <c r="N85" i="106" s="1"/>
  <c r="G89" i="106"/>
  <c r="K99" i="106"/>
  <c r="K107" i="106" s="1"/>
  <c r="C103" i="106"/>
  <c r="C107" i="106"/>
  <c r="G142" i="106"/>
  <c r="N142" i="106" s="1"/>
  <c r="G138" i="106"/>
  <c r="N138" i="106" s="1"/>
  <c r="G134" i="106"/>
  <c r="N134" i="106" s="1"/>
  <c r="G130" i="106"/>
  <c r="N130" i="106" s="1"/>
  <c r="N135" i="106"/>
  <c r="N143" i="106" s="1"/>
  <c r="G144" i="106"/>
  <c r="N144" i="106" s="1"/>
  <c r="G140" i="106"/>
  <c r="N140" i="106" s="1"/>
  <c r="G136" i="106"/>
  <c r="N136" i="106" s="1"/>
  <c r="G132" i="106"/>
  <c r="N132" i="106" s="1"/>
  <c r="G128" i="106"/>
  <c r="N128" i="106" s="1"/>
  <c r="O136" i="106"/>
  <c r="G143" i="106"/>
  <c r="K150" i="106"/>
  <c r="C180" i="106"/>
  <c r="C176" i="106"/>
  <c r="C172" i="106"/>
  <c r="C168" i="106"/>
  <c r="K168" i="106" s="1"/>
  <c r="C164" i="106"/>
  <c r="K164" i="106" s="1"/>
  <c r="C178" i="106"/>
  <c r="K178" i="106" s="1"/>
  <c r="C174" i="106"/>
  <c r="K174" i="106" s="1"/>
  <c r="C170" i="106"/>
  <c r="K170" i="106" s="1"/>
  <c r="C166" i="106"/>
  <c r="K166" i="106" s="1"/>
  <c r="C181" i="106"/>
  <c r="K181" i="106" s="1"/>
  <c r="H199" i="106"/>
  <c r="H198" i="106"/>
  <c r="O198" i="106" s="1"/>
  <c r="H194" i="106"/>
  <c r="O194" i="106" s="1"/>
  <c r="H190" i="106"/>
  <c r="O190" i="106" s="1"/>
  <c r="H186" i="106"/>
  <c r="O186" i="106" s="1"/>
  <c r="H182" i="106"/>
  <c r="O182" i="106" s="1"/>
  <c r="H195" i="106"/>
  <c r="O195" i="106" s="1"/>
  <c r="H191" i="106"/>
  <c r="O191" i="106" s="1"/>
  <c r="H187" i="106"/>
  <c r="O187" i="106" s="1"/>
  <c r="H183" i="106"/>
  <c r="O183" i="106" s="1"/>
  <c r="H196" i="106"/>
  <c r="O196" i="106" s="1"/>
  <c r="H192" i="106"/>
  <c r="O192" i="106" s="1"/>
  <c r="H188" i="106"/>
  <c r="O188" i="106" s="1"/>
  <c r="H184" i="106"/>
  <c r="O184" i="106" s="1"/>
  <c r="J250" i="106"/>
  <c r="G40" i="106"/>
  <c r="N40" i="106" s="1"/>
  <c r="G44" i="106"/>
  <c r="N44" i="106" s="1"/>
  <c r="E47" i="106"/>
  <c r="M47" i="106" s="1"/>
  <c r="G48" i="106"/>
  <c r="N48" i="106" s="1"/>
  <c r="I49" i="106"/>
  <c r="E51" i="106"/>
  <c r="C58" i="106"/>
  <c r="K58" i="106" s="1"/>
  <c r="C62" i="106"/>
  <c r="K62" i="106" s="1"/>
  <c r="M63" i="106"/>
  <c r="M71" i="106" s="1"/>
  <c r="I65" i="106"/>
  <c r="O65" i="106" s="1"/>
  <c r="C66" i="106"/>
  <c r="K66" i="106" s="1"/>
  <c r="E67" i="106"/>
  <c r="I69" i="106"/>
  <c r="O69" i="106" s="1"/>
  <c r="G76" i="106"/>
  <c r="N76" i="106" s="1"/>
  <c r="G80" i="106"/>
  <c r="N80" i="106" s="1"/>
  <c r="E83" i="106"/>
  <c r="M83" i="106" s="1"/>
  <c r="G84" i="106"/>
  <c r="N84" i="106" s="1"/>
  <c r="I85" i="106"/>
  <c r="E87" i="106"/>
  <c r="M87" i="106" s="1"/>
  <c r="I93" i="106"/>
  <c r="O93" i="106" s="1"/>
  <c r="C94" i="106"/>
  <c r="K94" i="106" s="1"/>
  <c r="I97" i="106"/>
  <c r="O97" i="106" s="1"/>
  <c r="C98" i="106"/>
  <c r="M99" i="106"/>
  <c r="M107" i="106" s="1"/>
  <c r="I101" i="106"/>
  <c r="O101" i="106" s="1"/>
  <c r="C102" i="106"/>
  <c r="K102" i="106" s="1"/>
  <c r="E103" i="106"/>
  <c r="M103" i="106" s="1"/>
  <c r="I110" i="106"/>
  <c r="E111" i="106"/>
  <c r="M111" i="106" s="1"/>
  <c r="H126" i="106"/>
  <c r="O126" i="106" s="1"/>
  <c r="H122" i="106"/>
  <c r="H118" i="106"/>
  <c r="H114" i="106"/>
  <c r="O114" i="106" s="1"/>
  <c r="H110" i="106"/>
  <c r="H127" i="106"/>
  <c r="O127" i="106" s="1"/>
  <c r="H123" i="106"/>
  <c r="O123" i="106" s="1"/>
  <c r="H119" i="106"/>
  <c r="O119" i="106" s="1"/>
  <c r="H115" i="106"/>
  <c r="O115" i="106" s="1"/>
  <c r="H111" i="106"/>
  <c r="O111" i="106" s="1"/>
  <c r="H124" i="106"/>
  <c r="O124" i="106" s="1"/>
  <c r="H120" i="106"/>
  <c r="I120" i="106"/>
  <c r="K138" i="106"/>
  <c r="C157" i="106"/>
  <c r="G161" i="106"/>
  <c r="J162" i="106"/>
  <c r="M181" i="106"/>
  <c r="J174" i="106"/>
  <c r="J182" i="106"/>
  <c r="J186" i="106"/>
  <c r="K189" i="106"/>
  <c r="K197" i="106" s="1"/>
  <c r="C191" i="106"/>
  <c r="C195" i="106"/>
  <c r="K195" i="106" s="1"/>
  <c r="M206" i="106"/>
  <c r="K249" i="106"/>
  <c r="J249" i="106"/>
  <c r="M278" i="106"/>
  <c r="M135" i="106"/>
  <c r="M143" i="106" s="1"/>
  <c r="I137" i="106"/>
  <c r="O137" i="106" s="1"/>
  <c r="E139" i="106"/>
  <c r="I141" i="106"/>
  <c r="O141" i="106" s="1"/>
  <c r="E143" i="106"/>
  <c r="I145" i="106"/>
  <c r="O145" i="106" s="1"/>
  <c r="E155" i="106"/>
  <c r="M155" i="106" s="1"/>
  <c r="I157" i="106"/>
  <c r="E159" i="106"/>
  <c r="M159" i="106" s="1"/>
  <c r="I161" i="106"/>
  <c r="E163" i="106"/>
  <c r="M163" i="106" s="1"/>
  <c r="I169" i="106"/>
  <c r="O169" i="106" s="1"/>
  <c r="M171" i="106"/>
  <c r="M179" i="106" s="1"/>
  <c r="I173" i="106"/>
  <c r="O173" i="106" s="1"/>
  <c r="E175" i="106"/>
  <c r="I177" i="106"/>
  <c r="O177" i="106" s="1"/>
  <c r="E179" i="106"/>
  <c r="I181" i="106"/>
  <c r="O181" i="106" s="1"/>
  <c r="E187" i="106"/>
  <c r="M187" i="106" s="1"/>
  <c r="E191" i="106"/>
  <c r="M191" i="106" s="1"/>
  <c r="I193" i="106"/>
  <c r="O193" i="106" s="1"/>
  <c r="E195" i="106"/>
  <c r="M195" i="106" s="1"/>
  <c r="I197" i="106"/>
  <c r="I203" i="106"/>
  <c r="O203" i="106" s="1"/>
  <c r="I204" i="106"/>
  <c r="O204" i="106" s="1"/>
  <c r="G206" i="106"/>
  <c r="N206" i="106" s="1"/>
  <c r="I211" i="106"/>
  <c r="E229" i="106"/>
  <c r="C232" i="106"/>
  <c r="G239" i="106"/>
  <c r="N239" i="106" s="1"/>
  <c r="O240" i="106"/>
  <c r="C271" i="106"/>
  <c r="C267" i="106"/>
  <c r="C263" i="106"/>
  <c r="C259" i="106"/>
  <c r="C255" i="106"/>
  <c r="C268" i="106"/>
  <c r="C264" i="106"/>
  <c r="C260" i="106"/>
  <c r="C256" i="106"/>
  <c r="C270" i="106"/>
  <c r="C266" i="106"/>
  <c r="C262" i="106"/>
  <c r="C258" i="106"/>
  <c r="C254" i="106"/>
  <c r="O268" i="106"/>
  <c r="O276" i="106"/>
  <c r="O288" i="106"/>
  <c r="O296" i="106"/>
  <c r="F139" i="106"/>
  <c r="F143" i="106"/>
  <c r="J153" i="106"/>
  <c r="J161" i="106" s="1"/>
  <c r="B157" i="106"/>
  <c r="B161" i="106"/>
  <c r="F175" i="106"/>
  <c r="F179" i="106"/>
  <c r="J189" i="106"/>
  <c r="J197" i="106" s="1"/>
  <c r="B193" i="106"/>
  <c r="B197" i="106"/>
  <c r="B199" i="106"/>
  <c r="J203" i="106"/>
  <c r="F216" i="106"/>
  <c r="M216" i="106" s="1"/>
  <c r="F212" i="106"/>
  <c r="F208" i="106"/>
  <c r="F204" i="106"/>
  <c r="M204" i="106" s="1"/>
  <c r="F200" i="106"/>
  <c r="M200" i="106" s="1"/>
  <c r="F217" i="106"/>
  <c r="M217" i="106" s="1"/>
  <c r="F214" i="106"/>
  <c r="M214" i="106" s="1"/>
  <c r="F210" i="106"/>
  <c r="M210" i="106" s="1"/>
  <c r="F206" i="106"/>
  <c r="F202" i="106"/>
  <c r="M202" i="106" s="1"/>
  <c r="F209" i="106"/>
  <c r="M209" i="106" s="1"/>
  <c r="C221" i="106"/>
  <c r="K221" i="106" s="1"/>
  <c r="B234" i="106"/>
  <c r="B230" i="106"/>
  <c r="B226" i="106"/>
  <c r="B222" i="106"/>
  <c r="B218" i="106"/>
  <c r="B235" i="106"/>
  <c r="B231" i="106"/>
  <c r="B227" i="106"/>
  <c r="B223" i="106"/>
  <c r="B219" i="106"/>
  <c r="B232" i="106"/>
  <c r="B228" i="106"/>
  <c r="B224" i="106"/>
  <c r="B220" i="106"/>
  <c r="J225" i="106"/>
  <c r="J233" i="106" s="1"/>
  <c r="J229" i="106"/>
  <c r="G217" i="106"/>
  <c r="N217" i="106" s="1"/>
  <c r="G213" i="106"/>
  <c r="N213" i="106" s="1"/>
  <c r="G209" i="106"/>
  <c r="N209" i="106" s="1"/>
  <c r="G205" i="106"/>
  <c r="N205" i="106" s="1"/>
  <c r="G201" i="106"/>
  <c r="N201" i="106" s="1"/>
  <c r="G216" i="106"/>
  <c r="N216" i="106" s="1"/>
  <c r="G212" i="106"/>
  <c r="N212" i="106" s="1"/>
  <c r="G208" i="106"/>
  <c r="N208" i="106" s="1"/>
  <c r="G204" i="106"/>
  <c r="N204" i="106" s="1"/>
  <c r="G200" i="106"/>
  <c r="N200" i="106" s="1"/>
  <c r="J209" i="106"/>
  <c r="O216" i="106"/>
  <c r="C235" i="106"/>
  <c r="C231" i="106"/>
  <c r="C227" i="106"/>
  <c r="C223" i="106"/>
  <c r="C219" i="106"/>
  <c r="C234" i="106"/>
  <c r="C230" i="106"/>
  <c r="C226" i="106"/>
  <c r="C222" i="106"/>
  <c r="C218" i="106"/>
  <c r="K225" i="106"/>
  <c r="K233" i="106" s="1"/>
  <c r="F288" i="106"/>
  <c r="M288" i="106" s="1"/>
  <c r="F284" i="106"/>
  <c r="F280" i="106"/>
  <c r="F276" i="106"/>
  <c r="M276" i="106" s="1"/>
  <c r="F272" i="106"/>
  <c r="M272" i="106" s="1"/>
  <c r="F289" i="106"/>
  <c r="M289" i="106" s="1"/>
  <c r="F285" i="106"/>
  <c r="F281" i="106"/>
  <c r="M281" i="106" s="1"/>
  <c r="F277" i="106"/>
  <c r="F273" i="106"/>
  <c r="M273" i="106" s="1"/>
  <c r="F286" i="106"/>
  <c r="M286" i="106" s="1"/>
  <c r="F282" i="106"/>
  <c r="M282" i="106" s="1"/>
  <c r="F278" i="106"/>
  <c r="F274" i="106"/>
  <c r="M274" i="106" s="1"/>
  <c r="M285" i="106"/>
  <c r="F287" i="106"/>
  <c r="B304" i="106"/>
  <c r="B300" i="106"/>
  <c r="B305" i="106"/>
  <c r="B301" i="106"/>
  <c r="B307" i="106"/>
  <c r="B303" i="106"/>
  <c r="B298" i="106"/>
  <c r="B294" i="106"/>
  <c r="B290" i="106"/>
  <c r="B299" i="106"/>
  <c r="B295" i="106"/>
  <c r="B291" i="106"/>
  <c r="B302" i="106"/>
  <c r="B296" i="106"/>
  <c r="B292" i="106"/>
  <c r="J297" i="106"/>
  <c r="J305" i="106" s="1"/>
  <c r="J338" i="106"/>
  <c r="L117" i="106"/>
  <c r="L125" i="106" s="1"/>
  <c r="F118" i="106"/>
  <c r="D121" i="106"/>
  <c r="L121" i="106" s="1"/>
  <c r="F122" i="106"/>
  <c r="M122" i="106" s="1"/>
  <c r="D125" i="106"/>
  <c r="F126" i="106"/>
  <c r="F130" i="106"/>
  <c r="M130" i="106" s="1"/>
  <c r="F134" i="106"/>
  <c r="M134" i="106" s="1"/>
  <c r="B136" i="106"/>
  <c r="F138" i="106"/>
  <c r="M138" i="106" s="1"/>
  <c r="H139" i="106"/>
  <c r="O139" i="106" s="1"/>
  <c r="B140" i="106"/>
  <c r="F142" i="106"/>
  <c r="M142" i="106" s="1"/>
  <c r="H143" i="106"/>
  <c r="B144" i="106"/>
  <c r="B148" i="106"/>
  <c r="B152" i="106"/>
  <c r="L153" i="106"/>
  <c r="L161" i="106" s="1"/>
  <c r="F154" i="106"/>
  <c r="M154" i="106" s="1"/>
  <c r="B156" i="106"/>
  <c r="D157" i="106"/>
  <c r="L157" i="106" s="1"/>
  <c r="F158" i="106"/>
  <c r="M158" i="106" s="1"/>
  <c r="B160" i="106"/>
  <c r="D161" i="106"/>
  <c r="F162" i="106"/>
  <c r="M162" i="106" s="1"/>
  <c r="F166" i="106"/>
  <c r="M166" i="106" s="1"/>
  <c r="F170" i="106"/>
  <c r="M170" i="106" s="1"/>
  <c r="B172" i="106"/>
  <c r="F174" i="106"/>
  <c r="M174" i="106" s="1"/>
  <c r="H175" i="106"/>
  <c r="B176" i="106"/>
  <c r="F178" i="106"/>
  <c r="M178" i="106" s="1"/>
  <c r="H179" i="106"/>
  <c r="B180" i="106"/>
  <c r="B184" i="106"/>
  <c r="B188" i="106"/>
  <c r="L189" i="106"/>
  <c r="L197" i="106" s="1"/>
  <c r="F190" i="106"/>
  <c r="M190" i="106" s="1"/>
  <c r="B192" i="106"/>
  <c r="D193" i="106"/>
  <c r="L193" i="106" s="1"/>
  <c r="F194" i="106"/>
  <c r="M194" i="106" s="1"/>
  <c r="B196" i="106"/>
  <c r="D197" i="106"/>
  <c r="F198" i="106"/>
  <c r="M198" i="106" s="1"/>
  <c r="O200" i="106"/>
  <c r="F201" i="106"/>
  <c r="M201" i="106" s="1"/>
  <c r="O217" i="106"/>
  <c r="I208" i="106"/>
  <c r="O208" i="106" s="1"/>
  <c r="G215" i="106"/>
  <c r="E221" i="106"/>
  <c r="M221" i="106" s="1"/>
  <c r="C224" i="106"/>
  <c r="O228" i="106"/>
  <c r="F252" i="106"/>
  <c r="M252" i="106" s="1"/>
  <c r="F248" i="106"/>
  <c r="F244" i="106"/>
  <c r="F240" i="106"/>
  <c r="M240" i="106" s="1"/>
  <c r="F236" i="106"/>
  <c r="M236" i="106" s="1"/>
  <c r="F253" i="106"/>
  <c r="M253" i="106" s="1"/>
  <c r="F249" i="106"/>
  <c r="M249" i="106" s="1"/>
  <c r="F245" i="106"/>
  <c r="M245" i="106" s="1"/>
  <c r="F241" i="106"/>
  <c r="M241" i="106" s="1"/>
  <c r="F237" i="106"/>
  <c r="M237" i="106" s="1"/>
  <c r="F250" i="106"/>
  <c r="M250" i="106" s="1"/>
  <c r="F246" i="106"/>
  <c r="M246" i="106" s="1"/>
  <c r="F242" i="106"/>
  <c r="M242" i="106" s="1"/>
  <c r="F238" i="106"/>
  <c r="M238" i="106" s="1"/>
  <c r="O244" i="106"/>
  <c r="C269" i="106"/>
  <c r="J273" i="106"/>
  <c r="G289" i="106"/>
  <c r="N289" i="106" s="1"/>
  <c r="G285" i="106"/>
  <c r="N285" i="106" s="1"/>
  <c r="G281" i="106"/>
  <c r="N281" i="106" s="1"/>
  <c r="G277" i="106"/>
  <c r="N277" i="106" s="1"/>
  <c r="G273" i="106"/>
  <c r="N273" i="106" s="1"/>
  <c r="G286" i="106"/>
  <c r="N286" i="106" s="1"/>
  <c r="G282" i="106"/>
  <c r="N282" i="106" s="1"/>
  <c r="G278" i="106"/>
  <c r="N278" i="106" s="1"/>
  <c r="G274" i="106"/>
  <c r="N274" i="106" s="1"/>
  <c r="G288" i="106"/>
  <c r="N288" i="106" s="1"/>
  <c r="G284" i="106"/>
  <c r="N284" i="106" s="1"/>
  <c r="G280" i="106"/>
  <c r="N280" i="106" s="1"/>
  <c r="G276" i="106"/>
  <c r="N276" i="106" s="1"/>
  <c r="G272" i="106"/>
  <c r="N272" i="106" s="1"/>
  <c r="G287" i="106"/>
  <c r="C304" i="106"/>
  <c r="C300" i="106"/>
  <c r="C305" i="106"/>
  <c r="C301" i="106"/>
  <c r="C306" i="106"/>
  <c r="C302" i="106"/>
  <c r="C303" i="106"/>
  <c r="C299" i="106"/>
  <c r="C295" i="106"/>
  <c r="C291" i="106"/>
  <c r="C307" i="106"/>
  <c r="C296" i="106"/>
  <c r="C292" i="106"/>
  <c r="C298" i="106"/>
  <c r="C294" i="106"/>
  <c r="C290" i="106"/>
  <c r="K297" i="106"/>
  <c r="K305" i="106" s="1"/>
  <c r="J362" i="106"/>
  <c r="E137" i="106"/>
  <c r="I139" i="106"/>
  <c r="E141" i="106"/>
  <c r="M141" i="106" s="1"/>
  <c r="M153" i="106"/>
  <c r="M161" i="106" s="1"/>
  <c r="I155" i="106"/>
  <c r="E157" i="106"/>
  <c r="I159" i="106"/>
  <c r="I175" i="106"/>
  <c r="E177" i="106"/>
  <c r="M199" i="106"/>
  <c r="M189" i="106"/>
  <c r="M197" i="106" s="1"/>
  <c r="E193" i="106"/>
  <c r="E197" i="106"/>
  <c r="I199" i="106"/>
  <c r="O201" i="106"/>
  <c r="G202" i="106"/>
  <c r="N202" i="106" s="1"/>
  <c r="M203" i="106"/>
  <c r="I214" i="106"/>
  <c r="O214" i="106" s="1"/>
  <c r="I210" i="106"/>
  <c r="O210" i="106" s="1"/>
  <c r="I206" i="106"/>
  <c r="O206" i="106" s="1"/>
  <c r="I202" i="106"/>
  <c r="O202" i="106" s="1"/>
  <c r="I217" i="106"/>
  <c r="I213" i="106"/>
  <c r="I209" i="106"/>
  <c r="I205" i="106"/>
  <c r="O205" i="106" s="1"/>
  <c r="I201" i="106"/>
  <c r="G214" i="106"/>
  <c r="N214" i="106" s="1"/>
  <c r="I215" i="106"/>
  <c r="E232" i="106"/>
  <c r="M232" i="106" s="1"/>
  <c r="E228" i="106"/>
  <c r="E224" i="106"/>
  <c r="E220" i="106"/>
  <c r="E235" i="106"/>
  <c r="M235" i="106" s="1"/>
  <c r="E231" i="106"/>
  <c r="M231" i="106" s="1"/>
  <c r="E227" i="106"/>
  <c r="M227" i="106" s="1"/>
  <c r="E223" i="106"/>
  <c r="M223" i="106" s="1"/>
  <c r="E219" i="106"/>
  <c r="M219" i="106" s="1"/>
  <c r="E234" i="106"/>
  <c r="G253" i="106"/>
  <c r="N253" i="106" s="1"/>
  <c r="G249" i="106"/>
  <c r="N249" i="106" s="1"/>
  <c r="G245" i="106"/>
  <c r="N245" i="106" s="1"/>
  <c r="G241" i="106"/>
  <c r="N241" i="106" s="1"/>
  <c r="G237" i="106"/>
  <c r="N237" i="106" s="1"/>
  <c r="G250" i="106"/>
  <c r="N250" i="106" s="1"/>
  <c r="G246" i="106"/>
  <c r="N246" i="106" s="1"/>
  <c r="G242" i="106"/>
  <c r="N242" i="106" s="1"/>
  <c r="G238" i="106"/>
  <c r="N238" i="106" s="1"/>
  <c r="G252" i="106"/>
  <c r="N252" i="106" s="1"/>
  <c r="G248" i="106"/>
  <c r="N248" i="106" s="1"/>
  <c r="G244" i="106"/>
  <c r="N244" i="106" s="1"/>
  <c r="G240" i="106"/>
  <c r="N240" i="106" s="1"/>
  <c r="G236" i="106"/>
  <c r="N236" i="106" s="1"/>
  <c r="J253" i="106"/>
  <c r="D120" i="106"/>
  <c r="L120" i="106" s="1"/>
  <c r="F121" i="106"/>
  <c r="F129" i="106"/>
  <c r="M129" i="106" s="1"/>
  <c r="F133" i="106"/>
  <c r="M133" i="106" s="1"/>
  <c r="J135" i="106"/>
  <c r="J143" i="106" s="1"/>
  <c r="F137" i="106"/>
  <c r="H138" i="106"/>
  <c r="O138" i="106" s="1"/>
  <c r="B139" i="106"/>
  <c r="F141" i="106"/>
  <c r="B147" i="106"/>
  <c r="B151" i="106"/>
  <c r="B155" i="106"/>
  <c r="D156" i="106"/>
  <c r="L156" i="106" s="1"/>
  <c r="F157" i="106"/>
  <c r="B159" i="106"/>
  <c r="F165" i="106"/>
  <c r="M165" i="106" s="1"/>
  <c r="F169" i="106"/>
  <c r="M169" i="106" s="1"/>
  <c r="J171" i="106"/>
  <c r="J179" i="106" s="1"/>
  <c r="F173" i="106"/>
  <c r="M173" i="106" s="1"/>
  <c r="H174" i="106"/>
  <c r="O174" i="106" s="1"/>
  <c r="B175" i="106"/>
  <c r="F177" i="106"/>
  <c r="B183" i="106"/>
  <c r="B187" i="106"/>
  <c r="B191" i="106"/>
  <c r="D192" i="106"/>
  <c r="L192" i="106" s="1"/>
  <c r="F193" i="106"/>
  <c r="D196" i="106"/>
  <c r="L196" i="106" s="1"/>
  <c r="F203" i="106"/>
  <c r="B214" i="106"/>
  <c r="B210" i="106"/>
  <c r="B206" i="106"/>
  <c r="B202" i="106"/>
  <c r="K207" i="106"/>
  <c r="K215" i="106" s="1"/>
  <c r="B216" i="106"/>
  <c r="B212" i="106"/>
  <c r="B208" i="106"/>
  <c r="B204" i="106"/>
  <c r="B200" i="106"/>
  <c r="J207" i="106"/>
  <c r="J215" i="106" s="1"/>
  <c r="B211" i="106"/>
  <c r="F213" i="106"/>
  <c r="M213" i="106" s="1"/>
  <c r="B217" i="106"/>
  <c r="O220" i="106"/>
  <c r="E222" i="106"/>
  <c r="E230" i="106"/>
  <c r="B233" i="106"/>
  <c r="O248" i="106"/>
  <c r="O260" i="106"/>
  <c r="M277" i="106"/>
  <c r="J289" i="106"/>
  <c r="O292" i="106"/>
  <c r="B306" i="106"/>
  <c r="O212" i="106"/>
  <c r="O224" i="106"/>
  <c r="C233" i="106"/>
  <c r="M239" i="106"/>
  <c r="O264" i="106"/>
  <c r="M275" i="106"/>
  <c r="J286" i="106"/>
  <c r="O284" i="106"/>
  <c r="D325" i="106"/>
  <c r="L325" i="106" s="1"/>
  <c r="D321" i="106"/>
  <c r="L321" i="106" s="1"/>
  <c r="D317" i="106"/>
  <c r="L317" i="106" s="1"/>
  <c r="D313" i="106"/>
  <c r="L313" i="106" s="1"/>
  <c r="D309" i="106"/>
  <c r="L309" i="106" s="1"/>
  <c r="D322" i="106"/>
  <c r="L322" i="106" s="1"/>
  <c r="D318" i="106"/>
  <c r="L318" i="106" s="1"/>
  <c r="D314" i="106"/>
  <c r="L314" i="106" s="1"/>
  <c r="D310" i="106"/>
  <c r="L310" i="106" s="1"/>
  <c r="D324" i="106"/>
  <c r="L324" i="106" s="1"/>
  <c r="D320" i="106"/>
  <c r="L320" i="106" s="1"/>
  <c r="D316" i="106"/>
  <c r="L316" i="106" s="1"/>
  <c r="D312" i="106"/>
  <c r="L312" i="106" s="1"/>
  <c r="D308" i="106"/>
  <c r="L308" i="106" s="1"/>
  <c r="D319" i="106"/>
  <c r="L319" i="106" s="1"/>
  <c r="L315" i="106"/>
  <c r="L323" i="106" s="1"/>
  <c r="D323" i="106"/>
  <c r="M207" i="106"/>
  <c r="M215" i="106" s="1"/>
  <c r="C210" i="106"/>
  <c r="E211" i="106"/>
  <c r="M211" i="106" s="1"/>
  <c r="C214" i="106"/>
  <c r="E215" i="106"/>
  <c r="G228" i="106"/>
  <c r="N228" i="106" s="1"/>
  <c r="I229" i="106"/>
  <c r="G232" i="106"/>
  <c r="N232" i="106" s="1"/>
  <c r="I233" i="106"/>
  <c r="I237" i="106"/>
  <c r="O237" i="106" s="1"/>
  <c r="I241" i="106"/>
  <c r="O241" i="106" s="1"/>
  <c r="M243" i="106"/>
  <c r="M251" i="106" s="1"/>
  <c r="I245" i="106"/>
  <c r="C246" i="106"/>
  <c r="E247" i="106"/>
  <c r="M247" i="106" s="1"/>
  <c r="I249" i="106"/>
  <c r="C250" i="106"/>
  <c r="K250" i="106" s="1"/>
  <c r="E251" i="106"/>
  <c r="I253" i="106"/>
  <c r="O253" i="106" s="1"/>
  <c r="E255" i="106"/>
  <c r="M255" i="106" s="1"/>
  <c r="E259" i="106"/>
  <c r="M259" i="106" s="1"/>
  <c r="E263" i="106"/>
  <c r="M263" i="106" s="1"/>
  <c r="G264" i="106"/>
  <c r="N264" i="106" s="1"/>
  <c r="I265" i="106"/>
  <c r="E267" i="106"/>
  <c r="M267" i="106" s="1"/>
  <c r="G268" i="106"/>
  <c r="N268" i="106" s="1"/>
  <c r="I269" i="106"/>
  <c r="E271" i="106"/>
  <c r="M271" i="106" s="1"/>
  <c r="I273" i="106"/>
  <c r="O273" i="106" s="1"/>
  <c r="I277" i="106"/>
  <c r="M279" i="106"/>
  <c r="M287" i="106" s="1"/>
  <c r="I281" i="106"/>
  <c r="E283" i="106"/>
  <c r="M283" i="106" s="1"/>
  <c r="I285" i="106"/>
  <c r="C286" i="106"/>
  <c r="K286" i="106" s="1"/>
  <c r="E287" i="106"/>
  <c r="I289" i="106"/>
  <c r="O289" i="106" s="1"/>
  <c r="E291" i="106"/>
  <c r="M291" i="106" s="1"/>
  <c r="E295" i="106"/>
  <c r="M295" i="106" s="1"/>
  <c r="I307" i="106"/>
  <c r="I303" i="106"/>
  <c r="I299" i="106"/>
  <c r="I304" i="106"/>
  <c r="I300" i="106"/>
  <c r="I305" i="106"/>
  <c r="I301" i="106"/>
  <c r="O301" i="106" s="1"/>
  <c r="E299" i="106"/>
  <c r="M299" i="106" s="1"/>
  <c r="C324" i="106"/>
  <c r="C320" i="106"/>
  <c r="C316" i="106"/>
  <c r="C312" i="106"/>
  <c r="K312" i="106" s="1"/>
  <c r="C308" i="106"/>
  <c r="K308" i="106" s="1"/>
  <c r="C325" i="106"/>
  <c r="C321" i="106"/>
  <c r="C317" i="106"/>
  <c r="C313" i="106"/>
  <c r="K313" i="106" s="1"/>
  <c r="C309" i="106"/>
  <c r="K309" i="106" s="1"/>
  <c r="C322" i="106"/>
  <c r="K322" i="106" s="1"/>
  <c r="C318" i="106"/>
  <c r="K318" i="106" s="1"/>
  <c r="C314" i="106"/>
  <c r="K314" i="106" s="1"/>
  <c r="C310" i="106"/>
  <c r="K310" i="106" s="1"/>
  <c r="G342" i="106"/>
  <c r="N342" i="106" s="1"/>
  <c r="G338" i="106"/>
  <c r="N338" i="106" s="1"/>
  <c r="G334" i="106"/>
  <c r="N334" i="106" s="1"/>
  <c r="G330" i="106"/>
  <c r="N330" i="106" s="1"/>
  <c r="G326" i="106"/>
  <c r="N326" i="106" s="1"/>
  <c r="G343" i="106"/>
  <c r="N343" i="106" s="1"/>
  <c r="G339" i="106"/>
  <c r="N339" i="106" s="1"/>
  <c r="G335" i="106"/>
  <c r="N335" i="106" s="1"/>
  <c r="G331" i="106"/>
  <c r="N331" i="106" s="1"/>
  <c r="G327" i="106"/>
  <c r="N327" i="106" s="1"/>
  <c r="G340" i="106"/>
  <c r="N340" i="106" s="1"/>
  <c r="G336" i="106"/>
  <c r="N336" i="106" s="1"/>
  <c r="G332" i="106"/>
  <c r="N332" i="106" s="1"/>
  <c r="G328" i="106"/>
  <c r="N328" i="106" s="1"/>
  <c r="N333" i="106"/>
  <c r="N341" i="106" s="1"/>
  <c r="G378" i="106"/>
  <c r="N378" i="106" s="1"/>
  <c r="G374" i="106"/>
  <c r="N374" i="106" s="1"/>
  <c r="G370" i="106"/>
  <c r="N370" i="106" s="1"/>
  <c r="G366" i="106"/>
  <c r="N366" i="106" s="1"/>
  <c r="G362" i="106"/>
  <c r="N362" i="106" s="1"/>
  <c r="G379" i="106"/>
  <c r="N379" i="106" s="1"/>
  <c r="G375" i="106"/>
  <c r="N375" i="106" s="1"/>
  <c r="G371" i="106"/>
  <c r="N371" i="106" s="1"/>
  <c r="G367" i="106"/>
  <c r="N367" i="106" s="1"/>
  <c r="G363" i="106"/>
  <c r="N363" i="106" s="1"/>
  <c r="G376" i="106"/>
  <c r="N376" i="106" s="1"/>
  <c r="G372" i="106"/>
  <c r="N372" i="106" s="1"/>
  <c r="G368" i="106"/>
  <c r="N368" i="106" s="1"/>
  <c r="G364" i="106"/>
  <c r="N364" i="106" s="1"/>
  <c r="N369" i="106"/>
  <c r="N377" i="106" s="1"/>
  <c r="E432" i="106"/>
  <c r="E428" i="106"/>
  <c r="E424" i="106"/>
  <c r="E420" i="106"/>
  <c r="M420" i="106" s="1"/>
  <c r="E416" i="106"/>
  <c r="M416" i="106" s="1"/>
  <c r="E433" i="106"/>
  <c r="M433" i="106" s="1"/>
  <c r="E429" i="106"/>
  <c r="E430" i="106"/>
  <c r="E426" i="106"/>
  <c r="E422" i="106"/>
  <c r="E418" i="106"/>
  <c r="M418" i="106" s="1"/>
  <c r="E431" i="106"/>
  <c r="M423" i="106"/>
  <c r="M431" i="106" s="1"/>
  <c r="E421" i="106"/>
  <c r="E419" i="106"/>
  <c r="M419" i="106" s="1"/>
  <c r="E417" i="106"/>
  <c r="E425" i="106"/>
  <c r="E427" i="106"/>
  <c r="D209" i="106"/>
  <c r="L209" i="106" s="1"/>
  <c r="H211" i="106"/>
  <c r="D213" i="106"/>
  <c r="L213" i="106" s="1"/>
  <c r="H215" i="106"/>
  <c r="D217" i="106"/>
  <c r="L217" i="106" s="1"/>
  <c r="F218" i="106"/>
  <c r="M218" i="106" s="1"/>
  <c r="F222" i="106"/>
  <c r="L225" i="106"/>
  <c r="L233" i="106" s="1"/>
  <c r="F226" i="106"/>
  <c r="M226" i="106" s="1"/>
  <c r="H227" i="106"/>
  <c r="O227" i="106" s="1"/>
  <c r="D229" i="106"/>
  <c r="L229" i="106" s="1"/>
  <c r="F230" i="106"/>
  <c r="H231" i="106"/>
  <c r="O231" i="106" s="1"/>
  <c r="D233" i="106"/>
  <c r="F234" i="106"/>
  <c r="H235" i="106"/>
  <c r="O235" i="106" s="1"/>
  <c r="B236" i="106"/>
  <c r="B240" i="106"/>
  <c r="B244" i="106"/>
  <c r="D245" i="106"/>
  <c r="L245" i="106" s="1"/>
  <c r="H247" i="106"/>
  <c r="B248" i="106"/>
  <c r="D249" i="106"/>
  <c r="L249" i="106" s="1"/>
  <c r="H251" i="106"/>
  <c r="B252" i="106"/>
  <c r="D253" i="106"/>
  <c r="L253" i="106" s="1"/>
  <c r="F254" i="106"/>
  <c r="M254" i="106" s="1"/>
  <c r="F258" i="106"/>
  <c r="M258" i="106" s="1"/>
  <c r="L261" i="106"/>
  <c r="L269" i="106" s="1"/>
  <c r="F262" i="106"/>
  <c r="M262" i="106" s="1"/>
  <c r="H263" i="106"/>
  <c r="O263" i="106" s="1"/>
  <c r="D265" i="106"/>
  <c r="L265" i="106" s="1"/>
  <c r="F266" i="106"/>
  <c r="M266" i="106" s="1"/>
  <c r="H267" i="106"/>
  <c r="O267" i="106" s="1"/>
  <c r="D269" i="106"/>
  <c r="F270" i="106"/>
  <c r="M270" i="106" s="1"/>
  <c r="H271" i="106"/>
  <c r="O271" i="106" s="1"/>
  <c r="B272" i="106"/>
  <c r="B276" i="106"/>
  <c r="B280" i="106"/>
  <c r="H283" i="106"/>
  <c r="B284" i="106"/>
  <c r="D285" i="106"/>
  <c r="L285" i="106" s="1"/>
  <c r="H287" i="106"/>
  <c r="B288" i="106"/>
  <c r="D289" i="106"/>
  <c r="L289" i="106" s="1"/>
  <c r="F290" i="106"/>
  <c r="M290" i="106" s="1"/>
  <c r="F294" i="106"/>
  <c r="M294" i="106" s="1"/>
  <c r="D305" i="106"/>
  <c r="D301" i="106"/>
  <c r="L301" i="106" s="1"/>
  <c r="D306" i="106"/>
  <c r="L306" i="106" s="1"/>
  <c r="D302" i="106"/>
  <c r="L302" i="106" s="1"/>
  <c r="D304" i="106"/>
  <c r="L304" i="106" s="1"/>
  <c r="D300" i="106"/>
  <c r="L300" i="106" s="1"/>
  <c r="L297" i="106"/>
  <c r="L305" i="106" s="1"/>
  <c r="I306" i="106"/>
  <c r="K340" i="106"/>
  <c r="J340" i="106"/>
  <c r="O366" i="106"/>
  <c r="K376" i="106"/>
  <c r="J376" i="106"/>
  <c r="G373" i="106"/>
  <c r="N373" i="106" s="1"/>
  <c r="I451" i="106"/>
  <c r="I446" i="106"/>
  <c r="I442" i="106"/>
  <c r="I438" i="106"/>
  <c r="I434" i="106"/>
  <c r="I447" i="106"/>
  <c r="I443" i="106"/>
  <c r="I439" i="106"/>
  <c r="I435" i="106"/>
  <c r="I450" i="106"/>
  <c r="I448" i="106"/>
  <c r="I444" i="106"/>
  <c r="I440" i="106"/>
  <c r="O440" i="106" s="1"/>
  <c r="I436" i="106"/>
  <c r="O436" i="106" s="1"/>
  <c r="I449" i="106"/>
  <c r="I437" i="106"/>
  <c r="I247" i="106"/>
  <c r="I251" i="106"/>
  <c r="M261" i="106"/>
  <c r="M269" i="106" s="1"/>
  <c r="E265" i="106"/>
  <c r="E269" i="106"/>
  <c r="I283" i="106"/>
  <c r="I287" i="106"/>
  <c r="E305" i="106"/>
  <c r="E301" i="106"/>
  <c r="E306" i="106"/>
  <c r="M306" i="106" s="1"/>
  <c r="E302" i="106"/>
  <c r="E307" i="106"/>
  <c r="E303" i="106"/>
  <c r="M297" i="106"/>
  <c r="M305" i="106" s="1"/>
  <c r="K358" i="106"/>
  <c r="J396" i="106"/>
  <c r="G413" i="106"/>
  <c r="G415" i="106"/>
  <c r="N415" i="106" s="1"/>
  <c r="G411" i="106"/>
  <c r="N411" i="106" s="1"/>
  <c r="G406" i="106"/>
  <c r="N406" i="106" s="1"/>
  <c r="G402" i="106"/>
  <c r="N402" i="106" s="1"/>
  <c r="G398" i="106"/>
  <c r="N398" i="106" s="1"/>
  <c r="G407" i="106"/>
  <c r="N407" i="106" s="1"/>
  <c r="G403" i="106"/>
  <c r="N403" i="106" s="1"/>
  <c r="G399" i="106"/>
  <c r="N399" i="106" s="1"/>
  <c r="G410" i="106"/>
  <c r="N410" i="106" s="1"/>
  <c r="G414" i="106"/>
  <c r="N414" i="106" s="1"/>
  <c r="G408" i="106"/>
  <c r="N408" i="106" s="1"/>
  <c r="G404" i="106"/>
  <c r="N404" i="106" s="1"/>
  <c r="G400" i="106"/>
  <c r="N400" i="106" s="1"/>
  <c r="G412" i="106"/>
  <c r="N412" i="106" s="1"/>
  <c r="N405" i="106"/>
  <c r="N413" i="106" s="1"/>
  <c r="F229" i="106"/>
  <c r="F233" i="106"/>
  <c r="J239" i="106"/>
  <c r="J243" i="106"/>
  <c r="J251" i="106" s="1"/>
  <c r="B247" i="106"/>
  <c r="B251" i="106"/>
  <c r="F265" i="106"/>
  <c r="F269" i="106"/>
  <c r="J275" i="106"/>
  <c r="J279" i="106"/>
  <c r="J287" i="106" s="1"/>
  <c r="B283" i="106"/>
  <c r="B287" i="106"/>
  <c r="F306" i="106"/>
  <c r="F302" i="106"/>
  <c r="F307" i="106"/>
  <c r="F303" i="106"/>
  <c r="F305" i="106"/>
  <c r="F301" i="106"/>
  <c r="E300" i="106"/>
  <c r="J360" i="106"/>
  <c r="C396" i="106"/>
  <c r="K396" i="106" s="1"/>
  <c r="C392" i="106"/>
  <c r="C388" i="106"/>
  <c r="C384" i="106"/>
  <c r="K384" i="106" s="1"/>
  <c r="C380" i="106"/>
  <c r="K380" i="106" s="1"/>
  <c r="C397" i="106"/>
  <c r="C393" i="106"/>
  <c r="C389" i="106"/>
  <c r="C385" i="106"/>
  <c r="K385" i="106" s="1"/>
  <c r="C381" i="106"/>
  <c r="K381" i="106" s="1"/>
  <c r="C394" i="106"/>
  <c r="C390" i="106"/>
  <c r="C386" i="106"/>
  <c r="K386" i="106" s="1"/>
  <c r="C382" i="106"/>
  <c r="K382" i="106" s="1"/>
  <c r="J454" i="106"/>
  <c r="K454" i="106"/>
  <c r="E208" i="106"/>
  <c r="M208" i="106" s="1"/>
  <c r="C211" i="106"/>
  <c r="E212" i="106"/>
  <c r="O225" i="106"/>
  <c r="O233" i="106" s="1"/>
  <c r="I226" i="106"/>
  <c r="O226" i="106" s="1"/>
  <c r="G229" i="106"/>
  <c r="N229" i="106" s="1"/>
  <c r="I230" i="106"/>
  <c r="O230" i="106" s="1"/>
  <c r="I238" i="106"/>
  <c r="O238" i="106" s="1"/>
  <c r="I242" i="106"/>
  <c r="O242" i="106" s="1"/>
  <c r="K243" i="106"/>
  <c r="K251" i="106" s="1"/>
  <c r="E244" i="106"/>
  <c r="I246" i="106"/>
  <c r="O246" i="106" s="1"/>
  <c r="C247" i="106"/>
  <c r="E248" i="106"/>
  <c r="M248" i="106" s="1"/>
  <c r="E256" i="106"/>
  <c r="M256" i="106" s="1"/>
  <c r="E260" i="106"/>
  <c r="M260" i="106" s="1"/>
  <c r="O261" i="106"/>
  <c r="O269" i="106" s="1"/>
  <c r="I262" i="106"/>
  <c r="O262" i="106" s="1"/>
  <c r="E264" i="106"/>
  <c r="G265" i="106"/>
  <c r="N265" i="106" s="1"/>
  <c r="I266" i="106"/>
  <c r="O266" i="106" s="1"/>
  <c r="I274" i="106"/>
  <c r="O274" i="106" s="1"/>
  <c r="I278" i="106"/>
  <c r="O278" i="106" s="1"/>
  <c r="K279" i="106"/>
  <c r="K287" i="106" s="1"/>
  <c r="E280" i="106"/>
  <c r="M280" i="106" s="1"/>
  <c r="I282" i="106"/>
  <c r="O282" i="106" s="1"/>
  <c r="C283" i="106"/>
  <c r="E284" i="106"/>
  <c r="M284" i="106" s="1"/>
  <c r="I290" i="106"/>
  <c r="O290" i="106" s="1"/>
  <c r="E292" i="106"/>
  <c r="I294" i="106"/>
  <c r="O294" i="106" s="1"/>
  <c r="E296" i="106"/>
  <c r="M296" i="106" s="1"/>
  <c r="G306" i="106"/>
  <c r="N306" i="106" s="1"/>
  <c r="G302" i="106"/>
  <c r="N302" i="106" s="1"/>
  <c r="G307" i="106"/>
  <c r="N307" i="106" s="1"/>
  <c r="G303" i="106"/>
  <c r="N303" i="106" s="1"/>
  <c r="G304" i="106"/>
  <c r="N304" i="106" s="1"/>
  <c r="G300" i="106"/>
  <c r="N300" i="106" s="1"/>
  <c r="I298" i="106"/>
  <c r="O298" i="106" s="1"/>
  <c r="F300" i="106"/>
  <c r="D307" i="106"/>
  <c r="L307" i="106" s="1"/>
  <c r="J310" i="106"/>
  <c r="J314" i="106"/>
  <c r="J334" i="106"/>
  <c r="K350" i="106"/>
  <c r="C360" i="106"/>
  <c r="K360" i="106" s="1"/>
  <c r="C356" i="106"/>
  <c r="C352" i="106"/>
  <c r="C348" i="106"/>
  <c r="K348" i="106" s="1"/>
  <c r="C344" i="106"/>
  <c r="C361" i="106"/>
  <c r="C357" i="106"/>
  <c r="C353" i="106"/>
  <c r="C349" i="106"/>
  <c r="K349" i="106" s="1"/>
  <c r="C345" i="106"/>
  <c r="K345" i="106" s="1"/>
  <c r="C358" i="106"/>
  <c r="C354" i="106"/>
  <c r="K354" i="106" s="1"/>
  <c r="C350" i="106"/>
  <c r="C346" i="106"/>
  <c r="K346" i="106" s="1"/>
  <c r="J358" i="106"/>
  <c r="L207" i="106"/>
  <c r="L215" i="106" s="1"/>
  <c r="H209" i="106"/>
  <c r="O209" i="106" s="1"/>
  <c r="D211" i="106"/>
  <c r="L211" i="106" s="1"/>
  <c r="H213" i="106"/>
  <c r="O213" i="106" s="1"/>
  <c r="F220" i="106"/>
  <c r="F224" i="106"/>
  <c r="D227" i="106"/>
  <c r="L227" i="106" s="1"/>
  <c r="F228" i="106"/>
  <c r="H229" i="106"/>
  <c r="O229" i="106" s="1"/>
  <c r="D231" i="106"/>
  <c r="L231" i="106" s="1"/>
  <c r="B238" i="106"/>
  <c r="B242" i="106"/>
  <c r="L243" i="106"/>
  <c r="L251" i="106" s="1"/>
  <c r="H245" i="106"/>
  <c r="O245" i="106" s="1"/>
  <c r="B246" i="106"/>
  <c r="D247" i="106"/>
  <c r="L247" i="106" s="1"/>
  <c r="H249" i="106"/>
  <c r="O249" i="106" s="1"/>
  <c r="F256" i="106"/>
  <c r="F260" i="106"/>
  <c r="D263" i="106"/>
  <c r="L263" i="106" s="1"/>
  <c r="F264" i="106"/>
  <c r="H265" i="106"/>
  <c r="O265" i="106" s="1"/>
  <c r="D267" i="106"/>
  <c r="L267" i="106" s="1"/>
  <c r="B274" i="106"/>
  <c r="H277" i="106"/>
  <c r="O277" i="106" s="1"/>
  <c r="B278" i="106"/>
  <c r="L279" i="106"/>
  <c r="L287" i="106" s="1"/>
  <c r="H281" i="106"/>
  <c r="O281" i="106" s="1"/>
  <c r="B282" i="106"/>
  <c r="D283" i="106"/>
  <c r="L283" i="106" s="1"/>
  <c r="H285" i="106"/>
  <c r="D291" i="106"/>
  <c r="L291" i="106" s="1"/>
  <c r="F292" i="106"/>
  <c r="D295" i="106"/>
  <c r="L295" i="106" s="1"/>
  <c r="F296" i="106"/>
  <c r="H307" i="106"/>
  <c r="O307" i="106" s="1"/>
  <c r="H303" i="106"/>
  <c r="O303" i="106" s="1"/>
  <c r="H299" i="106"/>
  <c r="H304" i="106"/>
  <c r="O304" i="106" s="1"/>
  <c r="H300" i="106"/>
  <c r="O300" i="106" s="1"/>
  <c r="H306" i="106"/>
  <c r="O306" i="106" s="1"/>
  <c r="H302" i="106"/>
  <c r="O302" i="106" s="1"/>
  <c r="D299" i="106"/>
  <c r="L299" i="106" s="1"/>
  <c r="G305" i="106"/>
  <c r="K324" i="106"/>
  <c r="J324" i="106"/>
  <c r="K315" i="106"/>
  <c r="K323" i="106" s="1"/>
  <c r="G337" i="106"/>
  <c r="N337" i="106" s="1"/>
  <c r="K344" i="106"/>
  <c r="D361" i="106"/>
  <c r="L361" i="106" s="1"/>
  <c r="D357" i="106"/>
  <c r="L357" i="106" s="1"/>
  <c r="D353" i="106"/>
  <c r="L353" i="106" s="1"/>
  <c r="D349" i="106"/>
  <c r="L349" i="106" s="1"/>
  <c r="D345" i="106"/>
  <c r="L345" i="106" s="1"/>
  <c r="D358" i="106"/>
  <c r="L358" i="106" s="1"/>
  <c r="D354" i="106"/>
  <c r="L354" i="106" s="1"/>
  <c r="D350" i="106"/>
  <c r="L350" i="106" s="1"/>
  <c r="D346" i="106"/>
  <c r="L346" i="106" s="1"/>
  <c r="D360" i="106"/>
  <c r="L360" i="106" s="1"/>
  <c r="D356" i="106"/>
  <c r="L356" i="106" s="1"/>
  <c r="D352" i="106"/>
  <c r="L352" i="106" s="1"/>
  <c r="D348" i="106"/>
  <c r="L348" i="106" s="1"/>
  <c r="D344" i="106"/>
  <c r="L344" i="106" s="1"/>
  <c r="C359" i="106"/>
  <c r="O362" i="106"/>
  <c r="C383" i="106"/>
  <c r="K383" i="106" s="1"/>
  <c r="M397" i="106"/>
  <c r="K406" i="106"/>
  <c r="J406" i="106"/>
  <c r="J315" i="106"/>
  <c r="J323" i="106" s="1"/>
  <c r="F317" i="106"/>
  <c r="H318" i="106"/>
  <c r="O318" i="106" s="1"/>
  <c r="B319" i="106"/>
  <c r="F321" i="106"/>
  <c r="H322" i="106"/>
  <c r="O322" i="106" s="1"/>
  <c r="B323" i="106"/>
  <c r="F325" i="106"/>
  <c r="M325" i="106" s="1"/>
  <c r="B335" i="106"/>
  <c r="D336" i="106"/>
  <c r="L336" i="106" s="1"/>
  <c r="F337" i="106"/>
  <c r="B339" i="106"/>
  <c r="D340" i="106"/>
  <c r="L340" i="106" s="1"/>
  <c r="F341" i="106"/>
  <c r="B343" i="106"/>
  <c r="J351" i="106"/>
  <c r="J359" i="106" s="1"/>
  <c r="F353" i="106"/>
  <c r="H354" i="106"/>
  <c r="O354" i="106" s="1"/>
  <c r="B355" i="106"/>
  <c r="F357" i="106"/>
  <c r="H358" i="106"/>
  <c r="O358" i="106" s="1"/>
  <c r="B359" i="106"/>
  <c r="F361" i="106"/>
  <c r="M361" i="106" s="1"/>
  <c r="H370" i="106"/>
  <c r="O370" i="106" s="1"/>
  <c r="B371" i="106"/>
  <c r="D372" i="106"/>
  <c r="L372" i="106" s="1"/>
  <c r="F373" i="106"/>
  <c r="H374" i="106"/>
  <c r="O374" i="106" s="1"/>
  <c r="B375" i="106"/>
  <c r="D376" i="106"/>
  <c r="L376" i="106" s="1"/>
  <c r="F377" i="106"/>
  <c r="H378" i="106"/>
  <c r="O378" i="106" s="1"/>
  <c r="B379" i="106"/>
  <c r="J387" i="106"/>
  <c r="J395" i="106" s="1"/>
  <c r="D388" i="106"/>
  <c r="L388" i="106" s="1"/>
  <c r="F389" i="106"/>
  <c r="H390" i="106"/>
  <c r="O390" i="106" s="1"/>
  <c r="B391" i="106"/>
  <c r="D392" i="106"/>
  <c r="L392" i="106" s="1"/>
  <c r="F393" i="106"/>
  <c r="H394" i="106"/>
  <c r="O394" i="106" s="1"/>
  <c r="B395" i="106"/>
  <c r="D396" i="106"/>
  <c r="L396" i="106" s="1"/>
  <c r="F397" i="106"/>
  <c r="F413" i="106"/>
  <c r="F414" i="106"/>
  <c r="F415" i="106"/>
  <c r="M415" i="106" s="1"/>
  <c r="F412" i="106"/>
  <c r="B407" i="106"/>
  <c r="F409" i="106"/>
  <c r="B410" i="106"/>
  <c r="O435" i="106"/>
  <c r="O441" i="106"/>
  <c r="O449" i="106" s="1"/>
  <c r="J463" i="106"/>
  <c r="B370" i="106"/>
  <c r="D371" i="106"/>
  <c r="L371" i="106" s="1"/>
  <c r="F372" i="106"/>
  <c r="M372" i="106" s="1"/>
  <c r="H373" i="106"/>
  <c r="B374" i="106"/>
  <c r="D375" i="106"/>
  <c r="L375" i="106" s="1"/>
  <c r="F376" i="106"/>
  <c r="M376" i="106" s="1"/>
  <c r="H377" i="106"/>
  <c r="B378" i="106"/>
  <c r="D379" i="106"/>
  <c r="L379" i="106" s="1"/>
  <c r="L387" i="106"/>
  <c r="L395" i="106" s="1"/>
  <c r="F388" i="106"/>
  <c r="M388" i="106" s="1"/>
  <c r="B390" i="106"/>
  <c r="D391" i="106"/>
  <c r="L391" i="106" s="1"/>
  <c r="F392" i="106"/>
  <c r="M392" i="106" s="1"/>
  <c r="H393" i="106"/>
  <c r="O393" i="106" s="1"/>
  <c r="B394" i="106"/>
  <c r="D395" i="106"/>
  <c r="F396" i="106"/>
  <c r="M396" i="106" s="1"/>
  <c r="H397" i="106"/>
  <c r="O397" i="106" s="1"/>
  <c r="H414" i="106"/>
  <c r="H410" i="106"/>
  <c r="H415" i="106"/>
  <c r="H411" i="106"/>
  <c r="H413" i="106"/>
  <c r="F408" i="106"/>
  <c r="M408" i="106" s="1"/>
  <c r="H409" i="106"/>
  <c r="O409" i="106" s="1"/>
  <c r="I425" i="106"/>
  <c r="O425" i="106" s="1"/>
  <c r="I427" i="106"/>
  <c r="J450" i="106"/>
  <c r="M315" i="106"/>
  <c r="M323" i="106" s="1"/>
  <c r="G316" i="106"/>
  <c r="N316" i="106" s="1"/>
  <c r="I317" i="106"/>
  <c r="O317" i="106" s="1"/>
  <c r="E319" i="106"/>
  <c r="G320" i="106"/>
  <c r="N320" i="106" s="1"/>
  <c r="I321" i="106"/>
  <c r="O321" i="106" s="1"/>
  <c r="E323" i="106"/>
  <c r="G324" i="106"/>
  <c r="N324" i="106" s="1"/>
  <c r="I325" i="106"/>
  <c r="O325" i="106" s="1"/>
  <c r="C334" i="106"/>
  <c r="K334" i="106" s="1"/>
  <c r="E335" i="106"/>
  <c r="I337" i="106"/>
  <c r="C338" i="106"/>
  <c r="K338" i="106" s="1"/>
  <c r="E339" i="106"/>
  <c r="I341" i="106"/>
  <c r="C342" i="106"/>
  <c r="K342" i="106" s="1"/>
  <c r="E343" i="106"/>
  <c r="M351" i="106"/>
  <c r="M359" i="106" s="1"/>
  <c r="G352" i="106"/>
  <c r="N352" i="106" s="1"/>
  <c r="I353" i="106"/>
  <c r="O353" i="106" s="1"/>
  <c r="E355" i="106"/>
  <c r="M355" i="106" s="1"/>
  <c r="G356" i="106"/>
  <c r="N356" i="106" s="1"/>
  <c r="I357" i="106"/>
  <c r="O357" i="106" s="1"/>
  <c r="E359" i="106"/>
  <c r="G360" i="106"/>
  <c r="N360" i="106" s="1"/>
  <c r="I361" i="106"/>
  <c r="O361" i="106" s="1"/>
  <c r="I373" i="106"/>
  <c r="C374" i="106"/>
  <c r="E375" i="106"/>
  <c r="I377" i="106"/>
  <c r="C378" i="106"/>
  <c r="E379" i="106"/>
  <c r="M379" i="106" s="1"/>
  <c r="M387" i="106"/>
  <c r="M395" i="106" s="1"/>
  <c r="E391" i="106"/>
  <c r="G392" i="106"/>
  <c r="N392" i="106" s="1"/>
  <c r="E395" i="106"/>
  <c r="G396" i="106"/>
  <c r="N396" i="106" s="1"/>
  <c r="I414" i="106"/>
  <c r="I410" i="106"/>
  <c r="I412" i="106"/>
  <c r="O412" i="106" s="1"/>
  <c r="I409" i="106"/>
  <c r="J451" i="106"/>
  <c r="J309" i="106"/>
  <c r="J313" i="106"/>
  <c r="N315" i="106"/>
  <c r="N323" i="106" s="1"/>
  <c r="H316" i="106"/>
  <c r="B317" i="106"/>
  <c r="F319" i="106"/>
  <c r="H320" i="106"/>
  <c r="B321" i="106"/>
  <c r="F323" i="106"/>
  <c r="H324" i="106"/>
  <c r="B325" i="106"/>
  <c r="J329" i="106"/>
  <c r="J333" i="106"/>
  <c r="J341" i="106" s="1"/>
  <c r="D334" i="106"/>
  <c r="L334" i="106" s="1"/>
  <c r="F335" i="106"/>
  <c r="B337" i="106"/>
  <c r="D338" i="106"/>
  <c r="L338" i="106" s="1"/>
  <c r="F339" i="106"/>
  <c r="B341" i="106"/>
  <c r="D342" i="106"/>
  <c r="L342" i="106" s="1"/>
  <c r="F343" i="106"/>
  <c r="J345" i="106"/>
  <c r="J349" i="106"/>
  <c r="N351" i="106"/>
  <c r="N359" i="106" s="1"/>
  <c r="H352" i="106"/>
  <c r="O352" i="106" s="1"/>
  <c r="B353" i="106"/>
  <c r="F355" i="106"/>
  <c r="H356" i="106"/>
  <c r="B357" i="106"/>
  <c r="F359" i="106"/>
  <c r="H360" i="106"/>
  <c r="B361" i="106"/>
  <c r="J365" i="106"/>
  <c r="J369" i="106"/>
  <c r="J377" i="106" s="1"/>
  <c r="D370" i="106"/>
  <c r="L370" i="106" s="1"/>
  <c r="F371" i="106"/>
  <c r="M371" i="106" s="1"/>
  <c r="H372" i="106"/>
  <c r="B373" i="106"/>
  <c r="D374" i="106"/>
  <c r="L374" i="106" s="1"/>
  <c r="F375" i="106"/>
  <c r="H376" i="106"/>
  <c r="O376" i="106" s="1"/>
  <c r="B377" i="106"/>
  <c r="D378" i="106"/>
  <c r="L378" i="106" s="1"/>
  <c r="F379" i="106"/>
  <c r="N387" i="106"/>
  <c r="N395" i="106" s="1"/>
  <c r="B389" i="106"/>
  <c r="D390" i="106"/>
  <c r="L390" i="106" s="1"/>
  <c r="F391" i="106"/>
  <c r="H392" i="106"/>
  <c r="B393" i="106"/>
  <c r="D394" i="106"/>
  <c r="L394" i="106" s="1"/>
  <c r="F395" i="106"/>
  <c r="H396" i="106"/>
  <c r="B397" i="106"/>
  <c r="B415" i="106"/>
  <c r="B411" i="106"/>
  <c r="B412" i="106"/>
  <c r="B414" i="106"/>
  <c r="J405" i="106"/>
  <c r="J413" i="106" s="1"/>
  <c r="F407" i="106"/>
  <c r="M407" i="106" s="1"/>
  <c r="H408" i="106"/>
  <c r="B409" i="106"/>
  <c r="I411" i="106"/>
  <c r="B413" i="106"/>
  <c r="O315" i="106"/>
  <c r="O323" i="106" s="1"/>
  <c r="I316" i="106"/>
  <c r="E318" i="106"/>
  <c r="G319" i="106"/>
  <c r="N319" i="106" s="1"/>
  <c r="I320" i="106"/>
  <c r="E322" i="106"/>
  <c r="M322" i="106" s="1"/>
  <c r="G323" i="106"/>
  <c r="I324" i="106"/>
  <c r="K333" i="106"/>
  <c r="K341" i="106" s="1"/>
  <c r="E334" i="106"/>
  <c r="I336" i="106"/>
  <c r="C337" i="106"/>
  <c r="E338" i="106"/>
  <c r="M338" i="106" s="1"/>
  <c r="I340" i="106"/>
  <c r="C341" i="106"/>
  <c r="E342" i="106"/>
  <c r="M342" i="106" s="1"/>
  <c r="O351" i="106"/>
  <c r="O359" i="106" s="1"/>
  <c r="I352" i="106"/>
  <c r="E354" i="106"/>
  <c r="G355" i="106"/>
  <c r="N355" i="106" s="1"/>
  <c r="I356" i="106"/>
  <c r="E358" i="106"/>
  <c r="M358" i="106" s="1"/>
  <c r="G359" i="106"/>
  <c r="I360" i="106"/>
  <c r="I368" i="106"/>
  <c r="O368" i="106" s="1"/>
  <c r="K369" i="106"/>
  <c r="K377" i="106" s="1"/>
  <c r="E370" i="106"/>
  <c r="I372" i="106"/>
  <c r="C373" i="106"/>
  <c r="E374" i="106"/>
  <c r="I376" i="106"/>
  <c r="C377" i="106"/>
  <c r="E378" i="106"/>
  <c r="M378" i="106" s="1"/>
  <c r="E386" i="106"/>
  <c r="E390" i="106"/>
  <c r="G391" i="106"/>
  <c r="N391" i="106" s="1"/>
  <c r="I392" i="106"/>
  <c r="E394" i="106"/>
  <c r="M394" i="106" s="1"/>
  <c r="G395" i="106"/>
  <c r="I396" i="106"/>
  <c r="I404" i="106"/>
  <c r="O404" i="106" s="1"/>
  <c r="C415" i="106"/>
  <c r="C411" i="106"/>
  <c r="C413" i="106"/>
  <c r="K405" i="106"/>
  <c r="K413" i="106" s="1"/>
  <c r="I408" i="106"/>
  <c r="C409" i="106"/>
  <c r="I430" i="106"/>
  <c r="O430" i="106" s="1"/>
  <c r="I426" i="106"/>
  <c r="I422" i="106"/>
  <c r="I418" i="106"/>
  <c r="O418" i="106" s="1"/>
  <c r="I431" i="106"/>
  <c r="I432" i="106"/>
  <c r="I428" i="106"/>
  <c r="I424" i="106"/>
  <c r="O424" i="106" s="1"/>
  <c r="I420" i="106"/>
  <c r="O420" i="106" s="1"/>
  <c r="I416" i="106"/>
  <c r="O416" i="106" s="1"/>
  <c r="I433" i="106"/>
  <c r="J308" i="106"/>
  <c r="J312" i="106"/>
  <c r="B316" i="106"/>
  <c r="F318" i="106"/>
  <c r="H319" i="106"/>
  <c r="B320" i="106"/>
  <c r="J328" i="106"/>
  <c r="J332" i="106"/>
  <c r="L333" i="106"/>
  <c r="L341" i="106" s="1"/>
  <c r="F334" i="106"/>
  <c r="B336" i="106"/>
  <c r="D337" i="106"/>
  <c r="L337" i="106" s="1"/>
  <c r="F338" i="106"/>
  <c r="J344" i="106"/>
  <c r="J348" i="106"/>
  <c r="B352" i="106"/>
  <c r="F354" i="106"/>
  <c r="H355" i="106"/>
  <c r="O355" i="106" s="1"/>
  <c r="B356" i="106"/>
  <c r="J364" i="106"/>
  <c r="J368" i="106"/>
  <c r="L369" i="106"/>
  <c r="L377" i="106" s="1"/>
  <c r="F370" i="106"/>
  <c r="H371" i="106"/>
  <c r="B372" i="106"/>
  <c r="D373" i="106"/>
  <c r="L373" i="106" s="1"/>
  <c r="F374" i="106"/>
  <c r="H375" i="106"/>
  <c r="J380" i="106"/>
  <c r="J384" i="106"/>
  <c r="F386" i="106"/>
  <c r="B388" i="106"/>
  <c r="D389" i="106"/>
  <c r="L389" i="106" s="1"/>
  <c r="F390" i="106"/>
  <c r="H391" i="106"/>
  <c r="O391" i="106" s="1"/>
  <c r="B392" i="106"/>
  <c r="D393" i="106"/>
  <c r="L393" i="106" s="1"/>
  <c r="B400" i="106"/>
  <c r="F402" i="106"/>
  <c r="M402" i="106" s="1"/>
  <c r="H403" i="106"/>
  <c r="B404" i="106"/>
  <c r="D412" i="106"/>
  <c r="L412" i="106" s="1"/>
  <c r="D413" i="106"/>
  <c r="D415" i="106"/>
  <c r="L415" i="106" s="1"/>
  <c r="L405" i="106"/>
  <c r="L413" i="106" s="1"/>
  <c r="F406" i="106"/>
  <c r="M406" i="106" s="1"/>
  <c r="H407" i="106"/>
  <c r="B408" i="106"/>
  <c r="D409" i="106"/>
  <c r="L409" i="106" s="1"/>
  <c r="I413" i="106"/>
  <c r="I421" i="106"/>
  <c r="O421" i="106" s="1"/>
  <c r="D469" i="106"/>
  <c r="L469" i="106" s="1"/>
  <c r="D465" i="106"/>
  <c r="L465" i="106" s="1"/>
  <c r="D461" i="106"/>
  <c r="L461" i="106" s="1"/>
  <c r="D466" i="106"/>
  <c r="L466" i="106" s="1"/>
  <c r="D462" i="106"/>
  <c r="L462" i="106" s="1"/>
  <c r="D458" i="106"/>
  <c r="L458" i="106" s="1"/>
  <c r="D454" i="106"/>
  <c r="L454" i="106" s="1"/>
  <c r="D467" i="106"/>
  <c r="D463" i="106"/>
  <c r="L463" i="106" s="1"/>
  <c r="L459" i="106"/>
  <c r="L467" i="106" s="1"/>
  <c r="D468" i="106"/>
  <c r="L468" i="106" s="1"/>
  <c r="D455" i="106"/>
  <c r="L455" i="106" s="1"/>
  <c r="D452" i="106"/>
  <c r="L452" i="106" s="1"/>
  <c r="D457" i="106"/>
  <c r="L457" i="106" s="1"/>
  <c r="D460" i="106"/>
  <c r="L460" i="106" s="1"/>
  <c r="D453" i="106"/>
  <c r="L453" i="106" s="1"/>
  <c r="E317" i="106"/>
  <c r="G318" i="106"/>
  <c r="N318" i="106" s="1"/>
  <c r="I319" i="106"/>
  <c r="E321" i="106"/>
  <c r="M333" i="106"/>
  <c r="M341" i="106" s="1"/>
  <c r="I335" i="106"/>
  <c r="C336" i="106"/>
  <c r="E337" i="106"/>
  <c r="I339" i="106"/>
  <c r="E353" i="106"/>
  <c r="M353" i="106" s="1"/>
  <c r="G354" i="106"/>
  <c r="N354" i="106" s="1"/>
  <c r="I355" i="106"/>
  <c r="E357" i="106"/>
  <c r="M357" i="106" s="1"/>
  <c r="I367" i="106"/>
  <c r="O367" i="106" s="1"/>
  <c r="M369" i="106"/>
  <c r="M377" i="106" s="1"/>
  <c r="I371" i="106"/>
  <c r="C372" i="106"/>
  <c r="E373" i="106"/>
  <c r="M373" i="106" s="1"/>
  <c r="I375" i="106"/>
  <c r="E381" i="106"/>
  <c r="M381" i="106" s="1"/>
  <c r="E385" i="106"/>
  <c r="M385" i="106" s="1"/>
  <c r="G386" i="106"/>
  <c r="N386" i="106" s="1"/>
  <c r="E389" i="106"/>
  <c r="M389" i="106" s="1"/>
  <c r="G390" i="106"/>
  <c r="N390" i="106" s="1"/>
  <c r="I391" i="106"/>
  <c r="E393" i="106"/>
  <c r="M393" i="106" s="1"/>
  <c r="I399" i="106"/>
  <c r="O399" i="106" s="1"/>
  <c r="C400" i="106"/>
  <c r="I403" i="106"/>
  <c r="C404" i="106"/>
  <c r="E412" i="106"/>
  <c r="M412" i="106" s="1"/>
  <c r="E414" i="106"/>
  <c r="E410" i="106"/>
  <c r="M410" i="106" s="1"/>
  <c r="M405" i="106"/>
  <c r="M413" i="106" s="1"/>
  <c r="I407" i="106"/>
  <c r="C408" i="106"/>
  <c r="E409" i="106"/>
  <c r="C412" i="106"/>
  <c r="I415" i="106"/>
  <c r="I417" i="106"/>
  <c r="O417" i="106" s="1"/>
  <c r="O419" i="106"/>
  <c r="O437" i="106"/>
  <c r="J491" i="106"/>
  <c r="B503" i="106"/>
  <c r="B502" i="106"/>
  <c r="B505" i="106"/>
  <c r="B500" i="106"/>
  <c r="B496" i="106"/>
  <c r="B492" i="106"/>
  <c r="B488" i="106"/>
  <c r="B504" i="106"/>
  <c r="B501" i="106"/>
  <c r="B497" i="106"/>
  <c r="B493" i="106"/>
  <c r="B489" i="106"/>
  <c r="B498" i="106"/>
  <c r="B494" i="106"/>
  <c r="B490" i="106"/>
  <c r="B499" i="106"/>
  <c r="K495" i="106"/>
  <c r="K503" i="106" s="1"/>
  <c r="J495" i="106"/>
  <c r="J503" i="106" s="1"/>
  <c r="L423" i="106"/>
  <c r="L431" i="106" s="1"/>
  <c r="F424" i="106"/>
  <c r="D427" i="106"/>
  <c r="L427" i="106" s="1"/>
  <c r="F428" i="106"/>
  <c r="H429" i="106"/>
  <c r="O429" i="106" s="1"/>
  <c r="D431" i="106"/>
  <c r="F432" i="106"/>
  <c r="H433" i="106"/>
  <c r="B442" i="106"/>
  <c r="H445" i="106"/>
  <c r="O445" i="106" s="1"/>
  <c r="B446" i="106"/>
  <c r="D447" i="106"/>
  <c r="L447" i="106" s="1"/>
  <c r="H449" i="106"/>
  <c r="C450" i="106"/>
  <c r="K450" i="106" s="1"/>
  <c r="C468" i="106"/>
  <c r="C464" i="106"/>
  <c r="C460" i="106"/>
  <c r="C456" i="106"/>
  <c r="K456" i="106" s="1"/>
  <c r="C452" i="106"/>
  <c r="K459" i="106"/>
  <c r="K467" i="106" s="1"/>
  <c r="C466" i="106"/>
  <c r="C467" i="106"/>
  <c r="G480" i="106"/>
  <c r="N480" i="106" s="1"/>
  <c r="G484" i="106"/>
  <c r="N484" i="106" s="1"/>
  <c r="E505" i="106"/>
  <c r="M505" i="106" s="1"/>
  <c r="M508" i="106"/>
  <c r="N513" i="106"/>
  <c r="N521" i="106" s="1"/>
  <c r="G520" i="106"/>
  <c r="N520" i="106" s="1"/>
  <c r="G516" i="106"/>
  <c r="N516" i="106" s="1"/>
  <c r="G512" i="106"/>
  <c r="N512" i="106" s="1"/>
  <c r="G508" i="106"/>
  <c r="N508" i="106" s="1"/>
  <c r="G518" i="106"/>
  <c r="N518" i="106" s="1"/>
  <c r="G515" i="106"/>
  <c r="N515" i="106" s="1"/>
  <c r="G507" i="106"/>
  <c r="N507" i="106" s="1"/>
  <c r="G521" i="106"/>
  <c r="G514" i="106"/>
  <c r="N514" i="106" s="1"/>
  <c r="G509" i="106"/>
  <c r="N509" i="106" s="1"/>
  <c r="G506" i="106"/>
  <c r="N506" i="106" s="1"/>
  <c r="G517" i="106"/>
  <c r="N517" i="106" s="1"/>
  <c r="G523" i="106"/>
  <c r="N523" i="106" s="1"/>
  <c r="M516" i="106"/>
  <c r="M583" i="106"/>
  <c r="M635" i="106"/>
  <c r="J417" i="106"/>
  <c r="J421" i="106"/>
  <c r="J425" i="106"/>
  <c r="D426" i="106"/>
  <c r="L426" i="106" s="1"/>
  <c r="F427" i="106"/>
  <c r="H428" i="106"/>
  <c r="J429" i="106"/>
  <c r="D430" i="106"/>
  <c r="L430" i="106" s="1"/>
  <c r="F431" i="106"/>
  <c r="H432" i="106"/>
  <c r="J433" i="106"/>
  <c r="J437" i="106"/>
  <c r="J441" i="106"/>
  <c r="J449" i="106" s="1"/>
  <c r="H444" i="106"/>
  <c r="O444" i="106" s="1"/>
  <c r="B445" i="106"/>
  <c r="D446" i="106"/>
  <c r="L446" i="106" s="1"/>
  <c r="H448" i="106"/>
  <c r="O448" i="106" s="1"/>
  <c r="B449" i="106"/>
  <c r="C451" i="106"/>
  <c r="K451" i="106" s="1"/>
  <c r="E469" i="106"/>
  <c r="M469" i="106" s="1"/>
  <c r="E465" i="106"/>
  <c r="M465" i="106" s="1"/>
  <c r="E461" i="106"/>
  <c r="M461" i="106" s="1"/>
  <c r="E457" i="106"/>
  <c r="M457" i="106" s="1"/>
  <c r="E453" i="106"/>
  <c r="M453" i="106" s="1"/>
  <c r="C462" i="106"/>
  <c r="C463" i="106"/>
  <c r="K463" i="106" s="1"/>
  <c r="E464" i="106"/>
  <c r="M464" i="106" s="1"/>
  <c r="G467" i="106"/>
  <c r="G468" i="106"/>
  <c r="N468" i="106" s="1"/>
  <c r="C502" i="106"/>
  <c r="C505" i="106"/>
  <c r="C500" i="106"/>
  <c r="C496" i="106"/>
  <c r="C492" i="106"/>
  <c r="C488" i="106"/>
  <c r="C504" i="106"/>
  <c r="C501" i="106"/>
  <c r="C497" i="106"/>
  <c r="C493" i="106"/>
  <c r="C489" i="106"/>
  <c r="C503" i="106"/>
  <c r="J506" i="106"/>
  <c r="M528" i="106"/>
  <c r="M532" i="106"/>
  <c r="M540" i="106"/>
  <c r="J619" i="106"/>
  <c r="O423" i="106"/>
  <c r="O431" i="106" s="1"/>
  <c r="G427" i="106"/>
  <c r="N427" i="106" s="1"/>
  <c r="C429" i="106"/>
  <c r="K429" i="106" s="1"/>
  <c r="G431" i="106"/>
  <c r="C433" i="106"/>
  <c r="K433" i="106" s="1"/>
  <c r="E434" i="106"/>
  <c r="M434" i="106" s="1"/>
  <c r="E438" i="106"/>
  <c r="M438" i="106" s="1"/>
  <c r="K441" i="106"/>
  <c r="K449" i="106" s="1"/>
  <c r="E442" i="106"/>
  <c r="M442" i="106" s="1"/>
  <c r="C445" i="106"/>
  <c r="E446" i="106"/>
  <c r="M446" i="106" s="1"/>
  <c r="C449" i="106"/>
  <c r="H450" i="106"/>
  <c r="D451" i="106"/>
  <c r="L451" i="106" s="1"/>
  <c r="E454" i="106"/>
  <c r="M454" i="106" s="1"/>
  <c r="J455" i="106"/>
  <c r="C457" i="106"/>
  <c r="J458" i="106"/>
  <c r="C461" i="106"/>
  <c r="E462" i="106"/>
  <c r="M462" i="106" s="1"/>
  <c r="E463" i="106"/>
  <c r="O466" i="106"/>
  <c r="J471" i="106"/>
  <c r="F486" i="106"/>
  <c r="F482" i="106"/>
  <c r="M482" i="106" s="1"/>
  <c r="F478" i="106"/>
  <c r="M478" i="106" s="1"/>
  <c r="F474" i="106"/>
  <c r="M474" i="106" s="1"/>
  <c r="F470" i="106"/>
  <c r="M470" i="106" s="1"/>
  <c r="F487" i="106"/>
  <c r="M487" i="106" s="1"/>
  <c r="F483" i="106"/>
  <c r="M483" i="106" s="1"/>
  <c r="F479" i="106"/>
  <c r="M479" i="106" s="1"/>
  <c r="F475" i="106"/>
  <c r="M475" i="106" s="1"/>
  <c r="F471" i="106"/>
  <c r="M471" i="106" s="1"/>
  <c r="F484" i="106"/>
  <c r="M484" i="106" s="1"/>
  <c r="F480" i="106"/>
  <c r="M480" i="106" s="1"/>
  <c r="F476" i="106"/>
  <c r="M476" i="106" s="1"/>
  <c r="F472" i="106"/>
  <c r="M472" i="106" s="1"/>
  <c r="M486" i="106"/>
  <c r="M495" i="106"/>
  <c r="M503" i="106" s="1"/>
  <c r="O498" i="106"/>
  <c r="K517" i="106"/>
  <c r="J534" i="106"/>
  <c r="J542" i="106"/>
  <c r="H558" i="106"/>
  <c r="O558" i="106" s="1"/>
  <c r="H554" i="106"/>
  <c r="O554" i="106" s="1"/>
  <c r="H550" i="106"/>
  <c r="O550" i="106" s="1"/>
  <c r="H546" i="106"/>
  <c r="O546" i="106" s="1"/>
  <c r="H542" i="106"/>
  <c r="O542" i="106" s="1"/>
  <c r="H544" i="106"/>
  <c r="O544" i="106" s="1"/>
  <c r="H553" i="106"/>
  <c r="O549" i="106"/>
  <c r="O557" i="106" s="1"/>
  <c r="H548" i="106"/>
  <c r="O548" i="106" s="1"/>
  <c r="H543" i="106"/>
  <c r="O543" i="106" s="1"/>
  <c r="H552" i="106"/>
  <c r="O552" i="106" s="1"/>
  <c r="H547" i="106"/>
  <c r="O547" i="106" s="1"/>
  <c r="H559" i="106"/>
  <c r="O559" i="106" s="1"/>
  <c r="H551" i="106"/>
  <c r="O551" i="106" s="1"/>
  <c r="H557" i="106"/>
  <c r="H545" i="106"/>
  <c r="O545" i="106" s="1"/>
  <c r="H555" i="106"/>
  <c r="O555" i="106" s="1"/>
  <c r="D421" i="106"/>
  <c r="L421" i="106" s="1"/>
  <c r="F422" i="106"/>
  <c r="D425" i="106"/>
  <c r="L425" i="106" s="1"/>
  <c r="F426" i="106"/>
  <c r="H427" i="106"/>
  <c r="O427" i="106" s="1"/>
  <c r="D429" i="106"/>
  <c r="L429" i="106" s="1"/>
  <c r="F430" i="106"/>
  <c r="H431" i="106"/>
  <c r="B432" i="106"/>
  <c r="D433" i="106"/>
  <c r="L433" i="106" s="1"/>
  <c r="H439" i="106"/>
  <c r="B440" i="106"/>
  <c r="L441" i="106"/>
  <c r="L449" i="106" s="1"/>
  <c r="H443" i="106"/>
  <c r="O443" i="106" s="1"/>
  <c r="B444" i="106"/>
  <c r="D445" i="106"/>
  <c r="L445" i="106" s="1"/>
  <c r="H447" i="106"/>
  <c r="B448" i="106"/>
  <c r="D449" i="106"/>
  <c r="E451" i="106"/>
  <c r="M451" i="106" s="1"/>
  <c r="K452" i="106"/>
  <c r="G466" i="106"/>
  <c r="N466" i="106" s="1"/>
  <c r="G462" i="106"/>
  <c r="N462" i="106" s="1"/>
  <c r="G458" i="106"/>
  <c r="N458" i="106" s="1"/>
  <c r="G454" i="106"/>
  <c r="N454" i="106" s="1"/>
  <c r="N459" i="106"/>
  <c r="N467" i="106" s="1"/>
  <c r="E460" i="106"/>
  <c r="M460" i="106" s="1"/>
  <c r="G463" i="106"/>
  <c r="N463" i="106" s="1"/>
  <c r="G464" i="106"/>
  <c r="N464" i="106" s="1"/>
  <c r="G486" i="106"/>
  <c r="N486" i="106" s="1"/>
  <c r="G482" i="106"/>
  <c r="N482" i="106" s="1"/>
  <c r="G478" i="106"/>
  <c r="N478" i="106" s="1"/>
  <c r="G474" i="106"/>
  <c r="N474" i="106" s="1"/>
  <c r="G470" i="106"/>
  <c r="N470" i="106" s="1"/>
  <c r="G487" i="106"/>
  <c r="N487" i="106" s="1"/>
  <c r="G483" i="106"/>
  <c r="N483" i="106" s="1"/>
  <c r="G479" i="106"/>
  <c r="N479" i="106" s="1"/>
  <c r="G475" i="106"/>
  <c r="N475" i="106" s="1"/>
  <c r="O478" i="106"/>
  <c r="O482" i="106"/>
  <c r="F485" i="106"/>
  <c r="O486" i="106"/>
  <c r="E503" i="106"/>
  <c r="E501" i="106"/>
  <c r="E497" i="106"/>
  <c r="M497" i="106" s="1"/>
  <c r="E493" i="106"/>
  <c r="M493" i="106" s="1"/>
  <c r="E489" i="106"/>
  <c r="M489" i="106" s="1"/>
  <c r="E504" i="106"/>
  <c r="M504" i="106" s="1"/>
  <c r="E498" i="106"/>
  <c r="M498" i="106" s="1"/>
  <c r="E494" i="106"/>
  <c r="M494" i="106" s="1"/>
  <c r="E490" i="106"/>
  <c r="M490" i="106" s="1"/>
  <c r="O507" i="106"/>
  <c r="J514" i="106"/>
  <c r="O515" i="106"/>
  <c r="J518" i="106"/>
  <c r="J615" i="106"/>
  <c r="M441" i="106"/>
  <c r="M449" i="106" s="1"/>
  <c r="E445" i="106"/>
  <c r="E449" i="106"/>
  <c r="G522" i="106"/>
  <c r="N522" i="106" s="1"/>
  <c r="J553" i="106"/>
  <c r="K553" i="106"/>
  <c r="K605" i="106"/>
  <c r="J605" i="106"/>
  <c r="F417" i="106"/>
  <c r="J419" i="106"/>
  <c r="D420" i="106"/>
  <c r="L420" i="106" s="1"/>
  <c r="F421" i="106"/>
  <c r="H422" i="106"/>
  <c r="O422" i="106" s="1"/>
  <c r="J423" i="106"/>
  <c r="J431" i="106" s="1"/>
  <c r="D424" i="106"/>
  <c r="L424" i="106" s="1"/>
  <c r="F425" i="106"/>
  <c r="H426" i="106"/>
  <c r="O426" i="106" s="1"/>
  <c r="B427" i="106"/>
  <c r="D428" i="106"/>
  <c r="L428" i="106" s="1"/>
  <c r="F429" i="106"/>
  <c r="B431" i="106"/>
  <c r="H434" i="106"/>
  <c r="O434" i="106" s="1"/>
  <c r="B435" i="106"/>
  <c r="D436" i="106"/>
  <c r="L436" i="106" s="1"/>
  <c r="H438" i="106"/>
  <c r="O438" i="106" s="1"/>
  <c r="B439" i="106"/>
  <c r="D440" i="106"/>
  <c r="L440" i="106" s="1"/>
  <c r="N441" i="106"/>
  <c r="N449" i="106" s="1"/>
  <c r="H442" i="106"/>
  <c r="O442" i="106" s="1"/>
  <c r="B443" i="106"/>
  <c r="D444" i="106"/>
  <c r="L444" i="106" s="1"/>
  <c r="F445" i="106"/>
  <c r="H446" i="106"/>
  <c r="B447" i="106"/>
  <c r="D448" i="106"/>
  <c r="L448" i="106" s="1"/>
  <c r="F449" i="106"/>
  <c r="H451" i="106"/>
  <c r="O451" i="106" s="1"/>
  <c r="E452" i="106"/>
  <c r="M452" i="106" s="1"/>
  <c r="E455" i="106"/>
  <c r="M455" i="106" s="1"/>
  <c r="J456" i="106"/>
  <c r="G457" i="106"/>
  <c r="N457" i="106" s="1"/>
  <c r="C458" i="106"/>
  <c r="K458" i="106" s="1"/>
  <c r="G460" i="106"/>
  <c r="N460" i="106" s="1"/>
  <c r="I487" i="106"/>
  <c r="O487" i="106" s="1"/>
  <c r="I483" i="106"/>
  <c r="I479" i="106"/>
  <c r="I475" i="106"/>
  <c r="O475" i="106" s="1"/>
  <c r="I471" i="106"/>
  <c r="O471" i="106" s="1"/>
  <c r="I484" i="106"/>
  <c r="I480" i="106"/>
  <c r="I476" i="106"/>
  <c r="I481" i="106"/>
  <c r="I485" i="106"/>
  <c r="E488" i="106"/>
  <c r="M488" i="106" s="1"/>
  <c r="E492" i="106"/>
  <c r="M492" i="106" s="1"/>
  <c r="E496" i="106"/>
  <c r="M496" i="106" s="1"/>
  <c r="C499" i="106"/>
  <c r="H538" i="106"/>
  <c r="O538" i="106" s="1"/>
  <c r="H534" i="106"/>
  <c r="O534" i="106" s="1"/>
  <c r="H530" i="106"/>
  <c r="O530" i="106" s="1"/>
  <c r="H526" i="106"/>
  <c r="O526" i="106" s="1"/>
  <c r="H536" i="106"/>
  <c r="O536" i="106" s="1"/>
  <c r="H535" i="106"/>
  <c r="O531" i="106"/>
  <c r="O539" i="106" s="1"/>
  <c r="H524" i="106"/>
  <c r="O524" i="106" s="1"/>
  <c r="H529" i="106"/>
  <c r="H541" i="106"/>
  <c r="H533" i="106"/>
  <c r="H540" i="106"/>
  <c r="O540" i="106" s="1"/>
  <c r="H539" i="106"/>
  <c r="H532" i="106"/>
  <c r="O532" i="106" s="1"/>
  <c r="H528" i="106"/>
  <c r="O528" i="106" s="1"/>
  <c r="H537" i="106"/>
  <c r="H527" i="106"/>
  <c r="O527" i="106" s="1"/>
  <c r="I646" i="106"/>
  <c r="I647" i="106"/>
  <c r="I648" i="106"/>
  <c r="I645" i="106"/>
  <c r="I642" i="106"/>
  <c r="O642" i="106" s="1"/>
  <c r="I638" i="106"/>
  <c r="O638" i="106" s="1"/>
  <c r="I634" i="106"/>
  <c r="O634" i="106" s="1"/>
  <c r="I644" i="106"/>
  <c r="I640" i="106"/>
  <c r="O640" i="106" s="1"/>
  <c r="O639" i="106"/>
  <c r="O647" i="106" s="1"/>
  <c r="I636" i="106"/>
  <c r="O636" i="106" s="1"/>
  <c r="I632" i="106"/>
  <c r="O632" i="106" s="1"/>
  <c r="I643" i="106"/>
  <c r="I637" i="106"/>
  <c r="I635" i="106"/>
  <c r="O635" i="106" s="1"/>
  <c r="I633" i="106"/>
  <c r="I641" i="106"/>
  <c r="O641" i="106" s="1"/>
  <c r="I649" i="106"/>
  <c r="G421" i="106"/>
  <c r="N421" i="106" s="1"/>
  <c r="G425" i="106"/>
  <c r="N425" i="106" s="1"/>
  <c r="C427" i="106"/>
  <c r="G429" i="106"/>
  <c r="N429" i="106" s="1"/>
  <c r="C435" i="106"/>
  <c r="E436" i="106"/>
  <c r="M436" i="106" s="1"/>
  <c r="C439" i="106"/>
  <c r="E440" i="106"/>
  <c r="M440" i="106" s="1"/>
  <c r="C443" i="106"/>
  <c r="E444" i="106"/>
  <c r="M444" i="106" s="1"/>
  <c r="G445" i="106"/>
  <c r="N445" i="106" s="1"/>
  <c r="G449" i="106"/>
  <c r="C453" i="106"/>
  <c r="E458" i="106"/>
  <c r="M458" i="106" s="1"/>
  <c r="B468" i="106"/>
  <c r="B464" i="106"/>
  <c r="B460" i="106"/>
  <c r="B469" i="106"/>
  <c r="B465" i="106"/>
  <c r="B461" i="106"/>
  <c r="B457" i="106"/>
  <c r="B453" i="106"/>
  <c r="B466" i="106"/>
  <c r="B462" i="106"/>
  <c r="J459" i="106"/>
  <c r="J467" i="106" s="1"/>
  <c r="B467" i="106"/>
  <c r="C469" i="106"/>
  <c r="N477" i="106"/>
  <c r="N485" i="106" s="1"/>
  <c r="E499" i="106"/>
  <c r="G511" i="106"/>
  <c r="N511" i="106" s="1"/>
  <c r="G519" i="106"/>
  <c r="N519" i="106" s="1"/>
  <c r="O504" i="106"/>
  <c r="G538" i="106"/>
  <c r="N538" i="106" s="1"/>
  <c r="G534" i="106"/>
  <c r="N534" i="106" s="1"/>
  <c r="G530" i="106"/>
  <c r="N530" i="106" s="1"/>
  <c r="G540" i="106"/>
  <c r="N540" i="106" s="1"/>
  <c r="G536" i="106"/>
  <c r="N536" i="106" s="1"/>
  <c r="G532" i="106"/>
  <c r="N532" i="106" s="1"/>
  <c r="G528" i="106"/>
  <c r="N528" i="106" s="1"/>
  <c r="G524" i="106"/>
  <c r="N524" i="106" s="1"/>
  <c r="B546" i="106"/>
  <c r="N549" i="106"/>
  <c r="N557" i="106" s="1"/>
  <c r="G558" i="106"/>
  <c r="N558" i="106" s="1"/>
  <c r="G554" i="106"/>
  <c r="N554" i="106" s="1"/>
  <c r="G550" i="106"/>
  <c r="N550" i="106" s="1"/>
  <c r="G546" i="106"/>
  <c r="N546" i="106" s="1"/>
  <c r="G542" i="106"/>
  <c r="N542" i="106" s="1"/>
  <c r="G556" i="106"/>
  <c r="N556" i="106" s="1"/>
  <c r="G552" i="106"/>
  <c r="N552" i="106" s="1"/>
  <c r="G548" i="106"/>
  <c r="N548" i="106" s="1"/>
  <c r="G544" i="106"/>
  <c r="N544" i="106" s="1"/>
  <c r="O564" i="106"/>
  <c r="G577" i="106"/>
  <c r="N577" i="106" s="1"/>
  <c r="G573" i="106"/>
  <c r="N573" i="106" s="1"/>
  <c r="G569" i="106"/>
  <c r="N569" i="106" s="1"/>
  <c r="G565" i="106"/>
  <c r="N565" i="106" s="1"/>
  <c r="G574" i="106"/>
  <c r="N574" i="106" s="1"/>
  <c r="N567" i="106"/>
  <c r="N575" i="106" s="1"/>
  <c r="G566" i="106"/>
  <c r="N566" i="106" s="1"/>
  <c r="G562" i="106"/>
  <c r="N562" i="106" s="1"/>
  <c r="G572" i="106"/>
  <c r="N572" i="106" s="1"/>
  <c r="G571" i="106"/>
  <c r="N571" i="106" s="1"/>
  <c r="G568" i="106"/>
  <c r="N568" i="106" s="1"/>
  <c r="G564" i="106"/>
  <c r="N564" i="106" s="1"/>
  <c r="G560" i="106"/>
  <c r="N560" i="106" s="1"/>
  <c r="B569" i="106"/>
  <c r="G570" i="106"/>
  <c r="N570" i="106" s="1"/>
  <c r="M601" i="106"/>
  <c r="H461" i="106"/>
  <c r="O461" i="106" s="1"/>
  <c r="H465" i="106"/>
  <c r="O465" i="106" s="1"/>
  <c r="H469" i="106"/>
  <c r="O469" i="106" s="1"/>
  <c r="D479" i="106"/>
  <c r="L479" i="106" s="1"/>
  <c r="H481" i="106"/>
  <c r="D483" i="106"/>
  <c r="L483" i="106" s="1"/>
  <c r="H485" i="106"/>
  <c r="D487" i="106"/>
  <c r="L487" i="106" s="1"/>
  <c r="L495" i="106"/>
  <c r="L503" i="106" s="1"/>
  <c r="H497" i="106"/>
  <c r="O497" i="106" s="1"/>
  <c r="D499" i="106"/>
  <c r="L499" i="106" s="1"/>
  <c r="G505" i="106"/>
  <c r="N505" i="106" s="1"/>
  <c r="O508" i="106"/>
  <c r="H522" i="106"/>
  <c r="O522" i="106" s="1"/>
  <c r="H518" i="106"/>
  <c r="O518" i="106" s="1"/>
  <c r="H514" i="106"/>
  <c r="O514" i="106" s="1"/>
  <c r="H510" i="106"/>
  <c r="O510" i="106" s="1"/>
  <c r="H506" i="106"/>
  <c r="O506" i="106" s="1"/>
  <c r="D514" i="106"/>
  <c r="L514" i="106" s="1"/>
  <c r="H516" i="106"/>
  <c r="O516" i="106" s="1"/>
  <c r="D517" i="106"/>
  <c r="L517" i="106" s="1"/>
  <c r="H519" i="106"/>
  <c r="O519" i="106" s="1"/>
  <c r="D529" i="106"/>
  <c r="L529" i="106" s="1"/>
  <c r="D534" i="106"/>
  <c r="L534" i="106" s="1"/>
  <c r="D547" i="106"/>
  <c r="L547" i="106" s="1"/>
  <c r="B552" i="106"/>
  <c r="I574" i="106"/>
  <c r="O574" i="106" s="1"/>
  <c r="I570" i="106"/>
  <c r="O570" i="106" s="1"/>
  <c r="I566" i="106"/>
  <c r="O566" i="106" s="1"/>
  <c r="I573" i="106"/>
  <c r="I572" i="106"/>
  <c r="O567" i="106"/>
  <c r="O575" i="106" s="1"/>
  <c r="I571" i="106"/>
  <c r="I565" i="106"/>
  <c r="O565" i="106" s="1"/>
  <c r="I563" i="106"/>
  <c r="O563" i="106" s="1"/>
  <c r="I577" i="106"/>
  <c r="O577" i="106" s="1"/>
  <c r="I576" i="106"/>
  <c r="O576" i="106" s="1"/>
  <c r="I561" i="106"/>
  <c r="O561" i="106" s="1"/>
  <c r="O572" i="106"/>
  <c r="F628" i="106"/>
  <c r="F624" i="106"/>
  <c r="F620" i="106"/>
  <c r="F616" i="106"/>
  <c r="F630" i="106"/>
  <c r="F626" i="106"/>
  <c r="F622" i="106"/>
  <c r="F618" i="106"/>
  <c r="F614" i="106"/>
  <c r="F619" i="106"/>
  <c r="M619" i="106" s="1"/>
  <c r="F627" i="106"/>
  <c r="F617" i="106"/>
  <c r="M617" i="106" s="1"/>
  <c r="F629" i="106"/>
  <c r="M621" i="106"/>
  <c r="M629" i="106" s="1"/>
  <c r="I623" i="106"/>
  <c r="B631" i="106"/>
  <c r="K641" i="106"/>
  <c r="J641" i="106"/>
  <c r="B559" i="106"/>
  <c r="B555" i="106"/>
  <c r="B551" i="106"/>
  <c r="B547" i="106"/>
  <c r="B543" i="106"/>
  <c r="J549" i="106"/>
  <c r="J557" i="106" s="1"/>
  <c r="B554" i="106"/>
  <c r="B574" i="106"/>
  <c r="B570" i="106"/>
  <c r="B566" i="106"/>
  <c r="K567" i="106"/>
  <c r="K575" i="106" s="1"/>
  <c r="B576" i="106"/>
  <c r="B572" i="106"/>
  <c r="B568" i="106"/>
  <c r="B563" i="106"/>
  <c r="B577" i="106"/>
  <c r="B575" i="106"/>
  <c r="B571" i="106"/>
  <c r="J567" i="106"/>
  <c r="J575" i="106" s="1"/>
  <c r="K589" i="106"/>
  <c r="J589" i="106"/>
  <c r="K613" i="106"/>
  <c r="J613" i="106"/>
  <c r="K633" i="106"/>
  <c r="J633" i="106"/>
  <c r="H452" i="106"/>
  <c r="O452" i="106" s="1"/>
  <c r="H456" i="106"/>
  <c r="O456" i="106" s="1"/>
  <c r="H460" i="106"/>
  <c r="O460" i="106" s="1"/>
  <c r="F463" i="106"/>
  <c r="H464" i="106"/>
  <c r="O464" i="106" s="1"/>
  <c r="H468" i="106"/>
  <c r="O468" i="106" s="1"/>
  <c r="D470" i="106"/>
  <c r="L470" i="106" s="1"/>
  <c r="H472" i="106"/>
  <c r="O472" i="106" s="1"/>
  <c r="D474" i="106"/>
  <c r="L474" i="106" s="1"/>
  <c r="H476" i="106"/>
  <c r="J477" i="106"/>
  <c r="J485" i="106" s="1"/>
  <c r="D478" i="106"/>
  <c r="L478" i="106" s="1"/>
  <c r="H480" i="106"/>
  <c r="O480" i="106" s="1"/>
  <c r="B481" i="106"/>
  <c r="D482" i="106"/>
  <c r="L482" i="106" s="1"/>
  <c r="H484" i="106"/>
  <c r="D486" i="106"/>
  <c r="L486" i="106" s="1"/>
  <c r="H488" i="106"/>
  <c r="O488" i="106" s="1"/>
  <c r="D490" i="106"/>
  <c r="L490" i="106" s="1"/>
  <c r="H492" i="106"/>
  <c r="O492" i="106" s="1"/>
  <c r="D494" i="106"/>
  <c r="L494" i="106" s="1"/>
  <c r="F505" i="106"/>
  <c r="F501" i="106"/>
  <c r="N495" i="106"/>
  <c r="N503" i="106" s="1"/>
  <c r="H496" i="106"/>
  <c r="O496" i="106" s="1"/>
  <c r="D498" i="106"/>
  <c r="L498" i="106" s="1"/>
  <c r="F499" i="106"/>
  <c r="H500" i="106"/>
  <c r="O500" i="106" s="1"/>
  <c r="F503" i="106"/>
  <c r="C507" i="106"/>
  <c r="H511" i="106"/>
  <c r="O511" i="106" s="1"/>
  <c r="B523" i="106"/>
  <c r="B519" i="106"/>
  <c r="B515" i="106"/>
  <c r="B511" i="106"/>
  <c r="B507" i="106"/>
  <c r="J513" i="106"/>
  <c r="J521" i="106" s="1"/>
  <c r="D518" i="106"/>
  <c r="L518" i="106" s="1"/>
  <c r="H520" i="106"/>
  <c r="O520" i="106" s="1"/>
  <c r="H523" i="106"/>
  <c r="O523" i="106" s="1"/>
  <c r="D527" i="106"/>
  <c r="L527" i="106" s="1"/>
  <c r="G529" i="106"/>
  <c r="N529" i="106" s="1"/>
  <c r="C540" i="106"/>
  <c r="K540" i="106" s="1"/>
  <c r="C536" i="106"/>
  <c r="K536" i="106" s="1"/>
  <c r="C532" i="106"/>
  <c r="C538" i="106"/>
  <c r="C534" i="106"/>
  <c r="K534" i="106" s="1"/>
  <c r="C530" i="106"/>
  <c r="K530" i="106" s="1"/>
  <c r="C526" i="106"/>
  <c r="K526" i="106" s="1"/>
  <c r="F534" i="106"/>
  <c r="M534" i="106" s="1"/>
  <c r="C537" i="106"/>
  <c r="K537" i="106" s="1"/>
  <c r="B544" i="106"/>
  <c r="B545" i="106"/>
  <c r="G547" i="106"/>
  <c r="N547" i="106" s="1"/>
  <c r="C556" i="106"/>
  <c r="C552" i="106"/>
  <c r="C548" i="106"/>
  <c r="K548" i="106" s="1"/>
  <c r="C544" i="106"/>
  <c r="C558" i="106"/>
  <c r="C554" i="106"/>
  <c r="C550" i="106"/>
  <c r="C546" i="106"/>
  <c r="C542" i="106"/>
  <c r="K542" i="106" s="1"/>
  <c r="K549" i="106"/>
  <c r="K557" i="106" s="1"/>
  <c r="D553" i="106"/>
  <c r="L553" i="106" s="1"/>
  <c r="C555" i="106"/>
  <c r="B561" i="106"/>
  <c r="I562" i="106"/>
  <c r="O562" i="106" s="1"/>
  <c r="B565" i="106"/>
  <c r="I575" i="106"/>
  <c r="J635" i="106"/>
  <c r="E684" i="106"/>
  <c r="M684" i="106" s="1"/>
  <c r="E680" i="106"/>
  <c r="M680" i="106" s="1"/>
  <c r="E676" i="106"/>
  <c r="M676" i="106" s="1"/>
  <c r="E672" i="106"/>
  <c r="M672" i="106" s="1"/>
  <c r="E668" i="106"/>
  <c r="M668" i="106" s="1"/>
  <c r="E685" i="106"/>
  <c r="M685" i="106" s="1"/>
  <c r="E681" i="106"/>
  <c r="E677" i="106"/>
  <c r="E673" i="106"/>
  <c r="M673" i="106" s="1"/>
  <c r="E669" i="106"/>
  <c r="M669" i="106" s="1"/>
  <c r="E682" i="106"/>
  <c r="E678" i="106"/>
  <c r="E674" i="106"/>
  <c r="M674" i="106" s="1"/>
  <c r="E670" i="106"/>
  <c r="M670" i="106" s="1"/>
  <c r="M675" i="106"/>
  <c r="M683" i="106" s="1"/>
  <c r="E671" i="106"/>
  <c r="M671" i="106" s="1"/>
  <c r="E683" i="106"/>
  <c r="E679" i="106"/>
  <c r="K477" i="106"/>
  <c r="K485" i="106" s="1"/>
  <c r="C481" i="106"/>
  <c r="C485" i="106"/>
  <c r="G499" i="106"/>
  <c r="N499" i="106" s="1"/>
  <c r="G503" i="106"/>
  <c r="C522" i="106"/>
  <c r="C518" i="106"/>
  <c r="K518" i="106" s="1"/>
  <c r="C514" i="106"/>
  <c r="K514" i="106" s="1"/>
  <c r="C510" i="106"/>
  <c r="K510" i="106" s="1"/>
  <c r="C506" i="106"/>
  <c r="K506" i="106" s="1"/>
  <c r="K513" i="106"/>
  <c r="K521" i="106" s="1"/>
  <c r="K522" i="106"/>
  <c r="D540" i="106"/>
  <c r="L540" i="106" s="1"/>
  <c r="D536" i="106"/>
  <c r="L536" i="106" s="1"/>
  <c r="D532" i="106"/>
  <c r="L532" i="106" s="1"/>
  <c r="D528" i="106"/>
  <c r="L528" i="106" s="1"/>
  <c r="D524" i="106"/>
  <c r="L524" i="106" s="1"/>
  <c r="N531" i="106"/>
  <c r="N539" i="106" s="1"/>
  <c r="G535" i="106"/>
  <c r="N535" i="106" s="1"/>
  <c r="D537" i="106"/>
  <c r="L537" i="106" s="1"/>
  <c r="K538" i="106"/>
  <c r="G543" i="106"/>
  <c r="N543" i="106" s="1"/>
  <c r="D556" i="106"/>
  <c r="L556" i="106" s="1"/>
  <c r="D552" i="106"/>
  <c r="L552" i="106" s="1"/>
  <c r="D548" i="106"/>
  <c r="L548" i="106" s="1"/>
  <c r="D544" i="106"/>
  <c r="L544" i="106" s="1"/>
  <c r="L549" i="106"/>
  <c r="L557" i="106" s="1"/>
  <c r="G553" i="106"/>
  <c r="N553" i="106" s="1"/>
  <c r="D555" i="106"/>
  <c r="L555" i="106" s="1"/>
  <c r="G563" i="106"/>
  <c r="N563" i="106" s="1"/>
  <c r="B573" i="106"/>
  <c r="O582" i="106"/>
  <c r="I630" i="106"/>
  <c r="O630" i="106" s="1"/>
  <c r="I626" i="106"/>
  <c r="O626" i="106" s="1"/>
  <c r="I622" i="106"/>
  <c r="O622" i="106" s="1"/>
  <c r="I618" i="106"/>
  <c r="O618" i="106" s="1"/>
  <c r="I614" i="106"/>
  <c r="O614" i="106" s="1"/>
  <c r="I628" i="106"/>
  <c r="O628" i="106" s="1"/>
  <c r="I624" i="106"/>
  <c r="O624" i="106" s="1"/>
  <c r="I620" i="106"/>
  <c r="O620" i="106" s="1"/>
  <c r="I616" i="106"/>
  <c r="O616" i="106" s="1"/>
  <c r="I615" i="106"/>
  <c r="O615" i="106" s="1"/>
  <c r="I629" i="106"/>
  <c r="I631" i="106"/>
  <c r="K667" i="106"/>
  <c r="J667" i="106"/>
  <c r="J658" i="106"/>
  <c r="K658" i="106"/>
  <c r="H463" i="106"/>
  <c r="J472" i="106"/>
  <c r="J476" i="106"/>
  <c r="L477" i="106"/>
  <c r="L485" i="106" s="1"/>
  <c r="H479" i="106"/>
  <c r="O479" i="106" s="1"/>
  <c r="J480" i="106"/>
  <c r="D481" i="106"/>
  <c r="L481" i="106" s="1"/>
  <c r="H483" i="106"/>
  <c r="O483" i="106" s="1"/>
  <c r="J484" i="106"/>
  <c r="D497" i="106"/>
  <c r="L497" i="106" s="1"/>
  <c r="H499" i="106"/>
  <c r="D501" i="106"/>
  <c r="L501" i="106" s="1"/>
  <c r="H503" i="106"/>
  <c r="D520" i="106"/>
  <c r="L520" i="106" s="1"/>
  <c r="D516" i="106"/>
  <c r="L516" i="106" s="1"/>
  <c r="D512" i="106"/>
  <c r="L512" i="106" s="1"/>
  <c r="D508" i="106"/>
  <c r="L508" i="106" s="1"/>
  <c r="L513" i="106"/>
  <c r="L521" i="106" s="1"/>
  <c r="J517" i="106"/>
  <c r="C519" i="106"/>
  <c r="J520" i="106"/>
  <c r="D522" i="106"/>
  <c r="L522" i="106" s="1"/>
  <c r="D525" i="106"/>
  <c r="L525" i="106" s="1"/>
  <c r="J529" i="106"/>
  <c r="M537" i="106"/>
  <c r="D538" i="106"/>
  <c r="L538" i="106" s="1"/>
  <c r="B556" i="106"/>
  <c r="B557" i="106"/>
  <c r="B562" i="106"/>
  <c r="M566" i="106"/>
  <c r="M569" i="106"/>
  <c r="O568" i="106"/>
  <c r="J581" i="106"/>
  <c r="B594" i="106"/>
  <c r="B590" i="106"/>
  <c r="B586" i="106"/>
  <c r="B582" i="106"/>
  <c r="B578" i="106"/>
  <c r="B592" i="106"/>
  <c r="B588" i="106"/>
  <c r="B584" i="106"/>
  <c r="B580" i="106"/>
  <c r="B595" i="106"/>
  <c r="J585" i="106"/>
  <c r="J593" i="106" s="1"/>
  <c r="E612" i="106"/>
  <c r="M612" i="106" s="1"/>
  <c r="E608" i="106"/>
  <c r="E604" i="106"/>
  <c r="E600" i="106"/>
  <c r="E596" i="106"/>
  <c r="E610" i="106"/>
  <c r="E606" i="106"/>
  <c r="E602" i="106"/>
  <c r="E609" i="106"/>
  <c r="M609" i="106" s="1"/>
  <c r="M603" i="106"/>
  <c r="M611" i="106" s="1"/>
  <c r="E599" i="106"/>
  <c r="M599" i="106" s="1"/>
  <c r="E611" i="106"/>
  <c r="E605" i="106"/>
  <c r="M605" i="106" s="1"/>
  <c r="E597" i="106"/>
  <c r="M597" i="106" s="1"/>
  <c r="B630" i="106"/>
  <c r="B626" i="106"/>
  <c r="B622" i="106"/>
  <c r="B618" i="106"/>
  <c r="B614" i="106"/>
  <c r="B628" i="106"/>
  <c r="B624" i="106"/>
  <c r="B620" i="106"/>
  <c r="B616" i="106"/>
  <c r="K621" i="106"/>
  <c r="K629" i="106" s="1"/>
  <c r="B625" i="106"/>
  <c r="B623" i="106"/>
  <c r="B617" i="106"/>
  <c r="J621" i="106"/>
  <c r="J629" i="106" s="1"/>
  <c r="M627" i="106"/>
  <c r="O633" i="106"/>
  <c r="J643" i="106"/>
  <c r="I463" i="106"/>
  <c r="C472" i="106"/>
  <c r="K472" i="106" s="1"/>
  <c r="C476" i="106"/>
  <c r="K476" i="106" s="1"/>
  <c r="M477" i="106"/>
  <c r="M485" i="106" s="1"/>
  <c r="C480" i="106"/>
  <c r="K480" i="106" s="1"/>
  <c r="E481" i="106"/>
  <c r="M481" i="106" s="1"/>
  <c r="G490" i="106"/>
  <c r="N490" i="106" s="1"/>
  <c r="G494" i="106"/>
  <c r="N494" i="106" s="1"/>
  <c r="I505" i="106"/>
  <c r="O505" i="106" s="1"/>
  <c r="I501" i="106"/>
  <c r="O501" i="106" s="1"/>
  <c r="G498" i="106"/>
  <c r="N498" i="106" s="1"/>
  <c r="I499" i="106"/>
  <c r="I503" i="106"/>
  <c r="F504" i="106"/>
  <c r="C508" i="106"/>
  <c r="K508" i="106" s="1"/>
  <c r="E523" i="106"/>
  <c r="M523" i="106" s="1"/>
  <c r="E519" i="106"/>
  <c r="M519" i="106" s="1"/>
  <c r="E515" i="106"/>
  <c r="M515" i="106" s="1"/>
  <c r="E511" i="106"/>
  <c r="M511" i="106" s="1"/>
  <c r="E507" i="106"/>
  <c r="M507" i="106" s="1"/>
  <c r="M513" i="106"/>
  <c r="M521" i="106" s="1"/>
  <c r="C516" i="106"/>
  <c r="K516" i="106" s="1"/>
  <c r="D519" i="106"/>
  <c r="L519" i="106" s="1"/>
  <c r="H521" i="106"/>
  <c r="E522" i="106"/>
  <c r="M522" i="106" s="1"/>
  <c r="G527" i="106"/>
  <c r="N527" i="106" s="1"/>
  <c r="J530" i="106"/>
  <c r="F541" i="106"/>
  <c r="M541" i="106" s="1"/>
  <c r="F537" i="106"/>
  <c r="F533" i="106"/>
  <c r="M533" i="106" s="1"/>
  <c r="F529" i="106"/>
  <c r="M529" i="106" s="1"/>
  <c r="F525" i="106"/>
  <c r="M525" i="106" s="1"/>
  <c r="K532" i="106"/>
  <c r="G537" i="106"/>
  <c r="N537" i="106" s="1"/>
  <c r="D539" i="106"/>
  <c r="B550" i="106"/>
  <c r="G555" i="106"/>
  <c r="N555" i="106" s="1"/>
  <c r="C557" i="106"/>
  <c r="B558" i="106"/>
  <c r="O560" i="106"/>
  <c r="F576" i="106"/>
  <c r="F572" i="106"/>
  <c r="F568" i="106"/>
  <c r="F574" i="106"/>
  <c r="M574" i="106" s="1"/>
  <c r="F570" i="106"/>
  <c r="M570" i="106" s="1"/>
  <c r="F566" i="106"/>
  <c r="F575" i="106"/>
  <c r="F561" i="106"/>
  <c r="M561" i="106" s="1"/>
  <c r="F573" i="106"/>
  <c r="M573" i="106" s="1"/>
  <c r="M567" i="106"/>
  <c r="M575" i="106" s="1"/>
  <c r="I568" i="106"/>
  <c r="F577" i="106"/>
  <c r="M577" i="106" s="1"/>
  <c r="B579" i="106"/>
  <c r="B583" i="106"/>
  <c r="C595" i="106"/>
  <c r="C591" i="106"/>
  <c r="C587" i="106"/>
  <c r="C583" i="106"/>
  <c r="C579" i="106"/>
  <c r="C586" i="106"/>
  <c r="C582" i="106"/>
  <c r="C578" i="106"/>
  <c r="C594" i="106"/>
  <c r="C593" i="106"/>
  <c r="C590" i="106"/>
  <c r="C589" i="106"/>
  <c r="K585" i="106"/>
  <c r="K593" i="106" s="1"/>
  <c r="B587" i="106"/>
  <c r="B591" i="106"/>
  <c r="F615" i="106"/>
  <c r="M615" i="106" s="1"/>
  <c r="O617" i="106"/>
  <c r="M623" i="106"/>
  <c r="I517" i="106"/>
  <c r="O517" i="106" s="1"/>
  <c r="I525" i="106"/>
  <c r="O525" i="106" s="1"/>
  <c r="I529" i="106"/>
  <c r="M531" i="106"/>
  <c r="M539" i="106" s="1"/>
  <c r="I533" i="106"/>
  <c r="E535" i="106"/>
  <c r="M535" i="106" s="1"/>
  <c r="I537" i="106"/>
  <c r="I541" i="106"/>
  <c r="E543" i="106"/>
  <c r="M543" i="106" s="1"/>
  <c r="E547" i="106"/>
  <c r="M547" i="106" s="1"/>
  <c r="E551" i="106"/>
  <c r="M551" i="106" s="1"/>
  <c r="I553" i="106"/>
  <c r="E555" i="106"/>
  <c r="M555" i="106" s="1"/>
  <c r="E559" i="106"/>
  <c r="M559" i="106" s="1"/>
  <c r="E579" i="106"/>
  <c r="M579" i="106" s="1"/>
  <c r="I594" i="106"/>
  <c r="O594" i="106" s="1"/>
  <c r="I590" i="106"/>
  <c r="O590" i="106" s="1"/>
  <c r="I586" i="106"/>
  <c r="O586" i="106" s="1"/>
  <c r="I582" i="106"/>
  <c r="I578" i="106"/>
  <c r="O578" i="106" s="1"/>
  <c r="I595" i="106"/>
  <c r="I599" i="106"/>
  <c r="O599" i="106" s="1"/>
  <c r="O601" i="106"/>
  <c r="F612" i="106"/>
  <c r="F608" i="106"/>
  <c r="F604" i="106"/>
  <c r="F600" i="106"/>
  <c r="F596" i="106"/>
  <c r="F610" i="106"/>
  <c r="F606" i="106"/>
  <c r="F602" i="106"/>
  <c r="F598" i="106"/>
  <c r="M598" i="106" s="1"/>
  <c r="J609" i="106"/>
  <c r="E633" i="106"/>
  <c r="M633" i="106" s="1"/>
  <c r="B647" i="106"/>
  <c r="B648" i="106"/>
  <c r="B644" i="106"/>
  <c r="B649" i="106"/>
  <c r="B645" i="106"/>
  <c r="B642" i="106"/>
  <c r="B638" i="106"/>
  <c r="B634" i="106"/>
  <c r="K639" i="106"/>
  <c r="K647" i="106" s="1"/>
  <c r="B640" i="106"/>
  <c r="B636" i="106"/>
  <c r="B632" i="106"/>
  <c r="J639" i="106"/>
  <c r="J647" i="106" s="1"/>
  <c r="K682" i="106"/>
  <c r="J682" i="106"/>
  <c r="K702" i="106"/>
  <c r="K726" i="106"/>
  <c r="I610" i="106"/>
  <c r="O610" i="106" s="1"/>
  <c r="I606" i="106"/>
  <c r="O606" i="106" s="1"/>
  <c r="I602" i="106"/>
  <c r="O602" i="106" s="1"/>
  <c r="I598" i="106"/>
  <c r="O598" i="106" s="1"/>
  <c r="I612" i="106"/>
  <c r="O612" i="106" s="1"/>
  <c r="I608" i="106"/>
  <c r="O608" i="106" s="1"/>
  <c r="I604" i="106"/>
  <c r="O604" i="106" s="1"/>
  <c r="O603" i="106"/>
  <c r="O611" i="106" s="1"/>
  <c r="I600" i="106"/>
  <c r="O600" i="106" s="1"/>
  <c r="E648" i="106"/>
  <c r="M648" i="106" s="1"/>
  <c r="E644" i="106"/>
  <c r="M644" i="106" s="1"/>
  <c r="E649" i="106"/>
  <c r="E645" i="106"/>
  <c r="E640" i="106"/>
  <c r="E636" i="106"/>
  <c r="E632" i="106"/>
  <c r="E646" i="106"/>
  <c r="M646" i="106" s="1"/>
  <c r="E642" i="106"/>
  <c r="E638" i="106"/>
  <c r="E634" i="106"/>
  <c r="E643" i="106"/>
  <c r="K686" i="106"/>
  <c r="J686" i="106"/>
  <c r="K703" i="106"/>
  <c r="J703" i="106"/>
  <c r="J769" i="106"/>
  <c r="I535" i="106"/>
  <c r="M549" i="106"/>
  <c r="M557" i="106" s="1"/>
  <c r="E553" i="106"/>
  <c r="E592" i="106"/>
  <c r="E588" i="106"/>
  <c r="E584" i="106"/>
  <c r="E580" i="106"/>
  <c r="E593" i="106"/>
  <c r="B610" i="106"/>
  <c r="B606" i="106"/>
  <c r="B602" i="106"/>
  <c r="B598" i="106"/>
  <c r="K603" i="106"/>
  <c r="K611" i="106" s="1"/>
  <c r="B612" i="106"/>
  <c r="B608" i="106"/>
  <c r="B604" i="106"/>
  <c r="B600" i="106"/>
  <c r="B596" i="106"/>
  <c r="J603" i="106"/>
  <c r="J611" i="106" s="1"/>
  <c r="I613" i="106"/>
  <c r="O613" i="106" s="1"/>
  <c r="O637" i="106"/>
  <c r="F649" i="106"/>
  <c r="F645" i="106"/>
  <c r="F646" i="106"/>
  <c r="F647" i="106"/>
  <c r="F640" i="106"/>
  <c r="F636" i="106"/>
  <c r="F632" i="106"/>
  <c r="F642" i="106"/>
  <c r="F638" i="106"/>
  <c r="F634" i="106"/>
  <c r="E641" i="106"/>
  <c r="F643" i="106"/>
  <c r="E772" i="106"/>
  <c r="M772" i="106" s="1"/>
  <c r="E768" i="106"/>
  <c r="E764" i="106"/>
  <c r="M764" i="106" s="1"/>
  <c r="E760" i="106"/>
  <c r="M760" i="106" s="1"/>
  <c r="E773" i="106"/>
  <c r="E774" i="106"/>
  <c r="M774" i="106" s="1"/>
  <c r="E770" i="106"/>
  <c r="M770" i="106" s="1"/>
  <c r="E766" i="106"/>
  <c r="M766" i="106" s="1"/>
  <c r="E762" i="106"/>
  <c r="M762" i="106" s="1"/>
  <c r="E758" i="106"/>
  <c r="M758" i="106" s="1"/>
  <c r="E775" i="106"/>
  <c r="M775" i="106" s="1"/>
  <c r="E767" i="106"/>
  <c r="M767" i="106" s="1"/>
  <c r="M765" i="106"/>
  <c r="M773" i="106" s="1"/>
  <c r="E771" i="106"/>
  <c r="M771" i="106" s="1"/>
  <c r="E769" i="106"/>
  <c r="J790" i="106"/>
  <c r="K790" i="106"/>
  <c r="F517" i="106"/>
  <c r="M517" i="106" s="1"/>
  <c r="J531" i="106"/>
  <c r="J539" i="106" s="1"/>
  <c r="B535" i="106"/>
  <c r="F553" i="106"/>
  <c r="E576" i="106"/>
  <c r="E572" i="106"/>
  <c r="M572" i="106" s="1"/>
  <c r="E568" i="106"/>
  <c r="M568" i="106" s="1"/>
  <c r="F592" i="106"/>
  <c r="F588" i="106"/>
  <c r="F584" i="106"/>
  <c r="F580" i="106"/>
  <c r="F594" i="106"/>
  <c r="F590" i="106"/>
  <c r="M590" i="106" s="1"/>
  <c r="F586" i="106"/>
  <c r="M586" i="106" s="1"/>
  <c r="F582" i="106"/>
  <c r="M582" i="106" s="1"/>
  <c r="F578" i="106"/>
  <c r="M578" i="106" s="1"/>
  <c r="I591" i="106"/>
  <c r="F593" i="106"/>
  <c r="E594" i="106"/>
  <c r="E595" i="106"/>
  <c r="M595" i="106" s="1"/>
  <c r="B597" i="106"/>
  <c r="B607" i="106"/>
  <c r="I611" i="106"/>
  <c r="E628" i="106"/>
  <c r="E624" i="106"/>
  <c r="E620" i="106"/>
  <c r="M620" i="106" s="1"/>
  <c r="E616" i="106"/>
  <c r="M616" i="106" s="1"/>
  <c r="E630" i="106"/>
  <c r="E626" i="106"/>
  <c r="M626" i="106" s="1"/>
  <c r="E622" i="106"/>
  <c r="M622" i="106" s="1"/>
  <c r="E618" i="106"/>
  <c r="M618" i="106" s="1"/>
  <c r="E614" i="106"/>
  <c r="E625" i="106"/>
  <c r="M625" i="106" s="1"/>
  <c r="F641" i="106"/>
  <c r="O653" i="106"/>
  <c r="J678" i="106"/>
  <c r="O689" i="106"/>
  <c r="O709" i="106"/>
  <c r="K722" i="106"/>
  <c r="G607" i="106"/>
  <c r="N607" i="106" s="1"/>
  <c r="G611" i="106"/>
  <c r="C625" i="106"/>
  <c r="C629" i="106"/>
  <c r="G649" i="106"/>
  <c r="N649" i="106" s="1"/>
  <c r="G645" i="106"/>
  <c r="N645" i="106" s="1"/>
  <c r="G646" i="106"/>
  <c r="N646" i="106" s="1"/>
  <c r="G643" i="106"/>
  <c r="N643" i="106" s="1"/>
  <c r="O657" i="106"/>
  <c r="O665" i="106" s="1"/>
  <c r="H666" i="106"/>
  <c r="H662" i="106"/>
  <c r="H658" i="106"/>
  <c r="H654" i="106"/>
  <c r="H650" i="106"/>
  <c r="H667" i="106"/>
  <c r="H663" i="106"/>
  <c r="H659" i="106"/>
  <c r="H655" i="106"/>
  <c r="H651" i="106"/>
  <c r="H664" i="106"/>
  <c r="H660" i="106"/>
  <c r="H656" i="106"/>
  <c r="H652" i="106"/>
  <c r="H661" i="106"/>
  <c r="H665" i="106"/>
  <c r="M702" i="106"/>
  <c r="J714" i="106"/>
  <c r="J718" i="106"/>
  <c r="H737" i="106"/>
  <c r="H738" i="106"/>
  <c r="H739" i="106"/>
  <c r="O739" i="106" s="1"/>
  <c r="O729" i="106"/>
  <c r="O737" i="106" s="1"/>
  <c r="H734" i="106"/>
  <c r="H730" i="106"/>
  <c r="O730" i="106" s="1"/>
  <c r="H726" i="106"/>
  <c r="H722" i="106"/>
  <c r="H731" i="106"/>
  <c r="H727" i="106"/>
  <c r="O727" i="106" s="1"/>
  <c r="H723" i="106"/>
  <c r="H735" i="106"/>
  <c r="H736" i="106"/>
  <c r="H732" i="106"/>
  <c r="O732" i="106" s="1"/>
  <c r="H728" i="106"/>
  <c r="H724" i="106"/>
  <c r="J785" i="106"/>
  <c r="J865" i="106"/>
  <c r="F972" i="106"/>
  <c r="F968" i="106"/>
  <c r="F964" i="106"/>
  <c r="M964" i="106" s="1"/>
  <c r="F960" i="106"/>
  <c r="F956" i="106"/>
  <c r="F973" i="106"/>
  <c r="F969" i="106"/>
  <c r="F965" i="106"/>
  <c r="F961" i="106"/>
  <c r="F957" i="106"/>
  <c r="F970" i="106"/>
  <c r="M970" i="106" s="1"/>
  <c r="F966" i="106"/>
  <c r="M966" i="106" s="1"/>
  <c r="F962" i="106"/>
  <c r="M962" i="106" s="1"/>
  <c r="F958" i="106"/>
  <c r="F971" i="106"/>
  <c r="F967" i="106"/>
  <c r="F959" i="106"/>
  <c r="K965" i="106"/>
  <c r="J965" i="106"/>
  <c r="D569" i="106"/>
  <c r="L569" i="106" s="1"/>
  <c r="H571" i="106"/>
  <c r="O571" i="106" s="1"/>
  <c r="D573" i="106"/>
  <c r="L573" i="106" s="1"/>
  <c r="H575" i="106"/>
  <c r="D577" i="106"/>
  <c r="L577" i="106" s="1"/>
  <c r="L585" i="106"/>
  <c r="L593" i="106" s="1"/>
  <c r="H587" i="106"/>
  <c r="O587" i="106" s="1"/>
  <c r="D589" i="106"/>
  <c r="L589" i="106" s="1"/>
  <c r="H591" i="106"/>
  <c r="O591" i="106" s="1"/>
  <c r="D593" i="106"/>
  <c r="H595" i="106"/>
  <c r="D605" i="106"/>
  <c r="L605" i="106" s="1"/>
  <c r="H607" i="106"/>
  <c r="O607" i="106" s="1"/>
  <c r="D609" i="106"/>
  <c r="L609" i="106" s="1"/>
  <c r="H611" i="106"/>
  <c r="D613" i="106"/>
  <c r="L613" i="106" s="1"/>
  <c r="H619" i="106"/>
  <c r="O619" i="106" s="1"/>
  <c r="L621" i="106"/>
  <c r="L629" i="106" s="1"/>
  <c r="H623" i="106"/>
  <c r="D625" i="106"/>
  <c r="L625" i="106" s="1"/>
  <c r="H627" i="106"/>
  <c r="O627" i="106" s="1"/>
  <c r="D629" i="106"/>
  <c r="H631" i="106"/>
  <c r="D633" i="106"/>
  <c r="L633" i="106" s="1"/>
  <c r="D637" i="106"/>
  <c r="L637" i="106" s="1"/>
  <c r="H646" i="106"/>
  <c r="O646" i="106" s="1"/>
  <c r="H647" i="106"/>
  <c r="H648" i="106"/>
  <c r="H644" i="106"/>
  <c r="O644" i="106" s="1"/>
  <c r="H643" i="106"/>
  <c r="H649" i="106"/>
  <c r="O649" i="106" s="1"/>
  <c r="I666" i="106"/>
  <c r="I662" i="106"/>
  <c r="I658" i="106"/>
  <c r="I654" i="106"/>
  <c r="I650" i="106"/>
  <c r="I667" i="106"/>
  <c r="I663" i="106"/>
  <c r="I659" i="106"/>
  <c r="I655" i="106"/>
  <c r="I651" i="106"/>
  <c r="I664" i="106"/>
  <c r="I660" i="106"/>
  <c r="I656" i="106"/>
  <c r="I652" i="106"/>
  <c r="I661" i="106"/>
  <c r="I665" i="106"/>
  <c r="D684" i="106"/>
  <c r="L684" i="106" s="1"/>
  <c r="D680" i="106"/>
  <c r="L680" i="106" s="1"/>
  <c r="D676" i="106"/>
  <c r="L676" i="106" s="1"/>
  <c r="D672" i="106"/>
  <c r="L672" i="106" s="1"/>
  <c r="D668" i="106"/>
  <c r="L668" i="106" s="1"/>
  <c r="D685" i="106"/>
  <c r="L685" i="106" s="1"/>
  <c r="D681" i="106"/>
  <c r="L681" i="106" s="1"/>
  <c r="D677" i="106"/>
  <c r="L677" i="106" s="1"/>
  <c r="D673" i="106"/>
  <c r="L673" i="106" s="1"/>
  <c r="D669" i="106"/>
  <c r="L669" i="106" s="1"/>
  <c r="D682" i="106"/>
  <c r="L682" i="106" s="1"/>
  <c r="D678" i="106"/>
  <c r="L678" i="106" s="1"/>
  <c r="D674" i="106"/>
  <c r="L674" i="106" s="1"/>
  <c r="D670" i="106"/>
  <c r="L670" i="106" s="1"/>
  <c r="M692" i="106"/>
  <c r="M700" i="106"/>
  <c r="I738" i="106"/>
  <c r="I736" i="106"/>
  <c r="I734" i="106"/>
  <c r="I730" i="106"/>
  <c r="I726" i="106"/>
  <c r="I722" i="106"/>
  <c r="I731" i="106"/>
  <c r="I727" i="106"/>
  <c r="I723" i="106"/>
  <c r="I735" i="106"/>
  <c r="I732" i="106"/>
  <c r="I728" i="106"/>
  <c r="I724" i="106"/>
  <c r="M734" i="106"/>
  <c r="J757" i="106"/>
  <c r="O767" i="106"/>
  <c r="K777" i="106"/>
  <c r="J777" i="106"/>
  <c r="C571" i="106"/>
  <c r="O585" i="106"/>
  <c r="O593" i="106" s="1"/>
  <c r="G589" i="106"/>
  <c r="N589" i="106" s="1"/>
  <c r="G597" i="106"/>
  <c r="N597" i="106" s="1"/>
  <c r="G601" i="106"/>
  <c r="N601" i="106" s="1"/>
  <c r="G605" i="106"/>
  <c r="N605" i="106" s="1"/>
  <c r="C607" i="106"/>
  <c r="G609" i="106"/>
  <c r="N609" i="106" s="1"/>
  <c r="C615" i="106"/>
  <c r="K615" i="106" s="1"/>
  <c r="C619" i="106"/>
  <c r="K619" i="106" s="1"/>
  <c r="O621" i="106"/>
  <c r="O629" i="106" s="1"/>
  <c r="C623" i="106"/>
  <c r="G625" i="106"/>
  <c r="N625" i="106" s="1"/>
  <c r="C627" i="106"/>
  <c r="K627" i="106" s="1"/>
  <c r="G633" i="106"/>
  <c r="N633" i="106" s="1"/>
  <c r="G637" i="106"/>
  <c r="N637" i="106" s="1"/>
  <c r="C647" i="106"/>
  <c r="C648" i="106"/>
  <c r="C644" i="106"/>
  <c r="G641" i="106"/>
  <c r="N641" i="106" s="1"/>
  <c r="C643" i="106"/>
  <c r="K643" i="106" s="1"/>
  <c r="H645" i="106"/>
  <c r="O645" i="106" s="1"/>
  <c r="G648" i="106"/>
  <c r="N648" i="106" s="1"/>
  <c r="O693" i="106"/>
  <c r="O701" i="106" s="1"/>
  <c r="H702" i="106"/>
  <c r="H698" i="106"/>
  <c r="H694" i="106"/>
  <c r="H690" i="106"/>
  <c r="H686" i="106"/>
  <c r="H703" i="106"/>
  <c r="H699" i="106"/>
  <c r="H695" i="106"/>
  <c r="O695" i="106" s="1"/>
  <c r="H691" i="106"/>
  <c r="H687" i="106"/>
  <c r="H700" i="106"/>
  <c r="H696" i="106"/>
  <c r="H692" i="106"/>
  <c r="H688" i="106"/>
  <c r="H697" i="106"/>
  <c r="H701" i="106"/>
  <c r="D720" i="106"/>
  <c r="L720" i="106" s="1"/>
  <c r="D716" i="106"/>
  <c r="L716" i="106" s="1"/>
  <c r="D712" i="106"/>
  <c r="L712" i="106" s="1"/>
  <c r="D708" i="106"/>
  <c r="L708" i="106" s="1"/>
  <c r="D704" i="106"/>
  <c r="L704" i="106" s="1"/>
  <c r="D721" i="106"/>
  <c r="L721" i="106" s="1"/>
  <c r="D717" i="106"/>
  <c r="L717" i="106" s="1"/>
  <c r="D713" i="106"/>
  <c r="L713" i="106" s="1"/>
  <c r="D709" i="106"/>
  <c r="L709" i="106" s="1"/>
  <c r="D705" i="106"/>
  <c r="L705" i="106" s="1"/>
  <c r="D718" i="106"/>
  <c r="L718" i="106" s="1"/>
  <c r="D714" i="106"/>
  <c r="L714" i="106" s="1"/>
  <c r="D710" i="106"/>
  <c r="L710" i="106" s="1"/>
  <c r="D706" i="106"/>
  <c r="L706" i="106" s="1"/>
  <c r="O713" i="106"/>
  <c r="O717" i="106"/>
  <c r="O721" i="106"/>
  <c r="J722" i="106"/>
  <c r="O740" i="106"/>
  <c r="J816" i="106"/>
  <c r="L567" i="106"/>
  <c r="L575" i="106" s="1"/>
  <c r="H569" i="106"/>
  <c r="O569" i="106" s="1"/>
  <c r="D571" i="106"/>
  <c r="L571" i="106" s="1"/>
  <c r="H573" i="106"/>
  <c r="D587" i="106"/>
  <c r="L587" i="106" s="1"/>
  <c r="H589" i="106"/>
  <c r="O589" i="106" s="1"/>
  <c r="D591" i="106"/>
  <c r="L591" i="106" s="1"/>
  <c r="L603" i="106"/>
  <c r="L611" i="106" s="1"/>
  <c r="H605" i="106"/>
  <c r="O605" i="106" s="1"/>
  <c r="D607" i="106"/>
  <c r="L607" i="106" s="1"/>
  <c r="H609" i="106"/>
  <c r="O609" i="106" s="1"/>
  <c r="H625" i="106"/>
  <c r="O625" i="106" s="1"/>
  <c r="D627" i="106"/>
  <c r="L627" i="106" s="1"/>
  <c r="D648" i="106"/>
  <c r="L648" i="106" s="1"/>
  <c r="D644" i="106"/>
  <c r="L644" i="106" s="1"/>
  <c r="D649" i="106"/>
  <c r="L649" i="106" s="1"/>
  <c r="D645" i="106"/>
  <c r="L645" i="106" s="1"/>
  <c r="D646" i="106"/>
  <c r="L646" i="106" s="1"/>
  <c r="L639" i="106"/>
  <c r="L647" i="106" s="1"/>
  <c r="D643" i="106"/>
  <c r="L643" i="106" s="1"/>
  <c r="D647" i="106"/>
  <c r="M656" i="106"/>
  <c r="O682" i="106"/>
  <c r="I702" i="106"/>
  <c r="I698" i="106"/>
  <c r="I694" i="106"/>
  <c r="I690" i="106"/>
  <c r="I686" i="106"/>
  <c r="I703" i="106"/>
  <c r="I699" i="106"/>
  <c r="I695" i="106"/>
  <c r="I691" i="106"/>
  <c r="I687" i="106"/>
  <c r="I700" i="106"/>
  <c r="I696" i="106"/>
  <c r="I692" i="106"/>
  <c r="I688" i="106"/>
  <c r="I697" i="106"/>
  <c r="I701" i="106"/>
  <c r="E720" i="106"/>
  <c r="M720" i="106" s="1"/>
  <c r="E716" i="106"/>
  <c r="M716" i="106" s="1"/>
  <c r="E712" i="106"/>
  <c r="M712" i="106" s="1"/>
  <c r="E708" i="106"/>
  <c r="M708" i="106" s="1"/>
  <c r="E704" i="106"/>
  <c r="M704" i="106" s="1"/>
  <c r="E721" i="106"/>
  <c r="M721" i="106" s="1"/>
  <c r="E717" i="106"/>
  <c r="E713" i="106"/>
  <c r="E709" i="106"/>
  <c r="M709" i="106" s="1"/>
  <c r="E705" i="106"/>
  <c r="M705" i="106" s="1"/>
  <c r="E718" i="106"/>
  <c r="M718" i="106" s="1"/>
  <c r="E714" i="106"/>
  <c r="E710" i="106"/>
  <c r="M710" i="106" s="1"/>
  <c r="E706" i="106"/>
  <c r="M706" i="106" s="1"/>
  <c r="M730" i="106"/>
  <c r="H733" i="106"/>
  <c r="O733" i="106" s="1"/>
  <c r="I754" i="106"/>
  <c r="I750" i="106"/>
  <c r="I746" i="106"/>
  <c r="I742" i="106"/>
  <c r="I756" i="106"/>
  <c r="O756" i="106" s="1"/>
  <c r="I752" i="106"/>
  <c r="I748" i="106"/>
  <c r="O748" i="106" s="1"/>
  <c r="I744" i="106"/>
  <c r="O744" i="106" s="1"/>
  <c r="I740" i="106"/>
  <c r="I753" i="106"/>
  <c r="I749" i="106"/>
  <c r="I757" i="106"/>
  <c r="I745" i="106"/>
  <c r="I743" i="106"/>
  <c r="O743" i="106" s="1"/>
  <c r="M779" i="106"/>
  <c r="M795" i="106"/>
  <c r="J754" i="106"/>
  <c r="J657" i="106"/>
  <c r="J665" i="106" s="1"/>
  <c r="D658" i="106"/>
  <c r="L658" i="106" s="1"/>
  <c r="F659" i="106"/>
  <c r="M659" i="106" s="1"/>
  <c r="B661" i="106"/>
  <c r="D662" i="106"/>
  <c r="L662" i="106" s="1"/>
  <c r="F663" i="106"/>
  <c r="M663" i="106" s="1"/>
  <c r="B665" i="106"/>
  <c r="D666" i="106"/>
  <c r="L666" i="106" s="1"/>
  <c r="F667" i="106"/>
  <c r="M667" i="106" s="1"/>
  <c r="N675" i="106"/>
  <c r="N683" i="106" s="1"/>
  <c r="H676" i="106"/>
  <c r="O676" i="106" s="1"/>
  <c r="B677" i="106"/>
  <c r="F679" i="106"/>
  <c r="H680" i="106"/>
  <c r="O680" i="106" s="1"/>
  <c r="B681" i="106"/>
  <c r="F683" i="106"/>
  <c r="H684" i="106"/>
  <c r="O684" i="106" s="1"/>
  <c r="B685" i="106"/>
  <c r="J693" i="106"/>
  <c r="J701" i="106" s="1"/>
  <c r="D694" i="106"/>
  <c r="L694" i="106" s="1"/>
  <c r="F695" i="106"/>
  <c r="M695" i="106" s="1"/>
  <c r="B697" i="106"/>
  <c r="D698" i="106"/>
  <c r="L698" i="106" s="1"/>
  <c r="F699" i="106"/>
  <c r="M699" i="106" s="1"/>
  <c r="B701" i="106"/>
  <c r="D702" i="106"/>
  <c r="L702" i="106" s="1"/>
  <c r="F703" i="106"/>
  <c r="M703" i="106" s="1"/>
  <c r="N711" i="106"/>
  <c r="N719" i="106" s="1"/>
  <c r="H712" i="106"/>
  <c r="O712" i="106" s="1"/>
  <c r="B713" i="106"/>
  <c r="F715" i="106"/>
  <c r="M715" i="106" s="1"/>
  <c r="H716" i="106"/>
  <c r="O716" i="106" s="1"/>
  <c r="B717" i="106"/>
  <c r="F719" i="106"/>
  <c r="H720" i="106"/>
  <c r="O720" i="106" s="1"/>
  <c r="B721" i="106"/>
  <c r="D726" i="106"/>
  <c r="L726" i="106" s="1"/>
  <c r="F727" i="106"/>
  <c r="M727" i="106" s="1"/>
  <c r="B738" i="106"/>
  <c r="B739" i="106"/>
  <c r="J729" i="106"/>
  <c r="J737" i="106" s="1"/>
  <c r="D730" i="106"/>
  <c r="L730" i="106" s="1"/>
  <c r="F731" i="106"/>
  <c r="M731" i="106" s="1"/>
  <c r="B733" i="106"/>
  <c r="F735" i="106"/>
  <c r="M735" i="106" s="1"/>
  <c r="J781" i="106"/>
  <c r="I797" i="106"/>
  <c r="O797" i="106" s="1"/>
  <c r="M808" i="106"/>
  <c r="O807" i="106"/>
  <c r="J826" i="106"/>
  <c r="K826" i="106"/>
  <c r="M831" i="106"/>
  <c r="M844" i="106"/>
  <c r="M843" i="106"/>
  <c r="K657" i="106"/>
  <c r="K665" i="106" s="1"/>
  <c r="C661" i="106"/>
  <c r="C665" i="106"/>
  <c r="G679" i="106"/>
  <c r="N679" i="106" s="1"/>
  <c r="G683" i="106"/>
  <c r="K693" i="106"/>
  <c r="K701" i="106" s="1"/>
  <c r="C697" i="106"/>
  <c r="C701" i="106"/>
  <c r="G715" i="106"/>
  <c r="N715" i="106" s="1"/>
  <c r="G719" i="106"/>
  <c r="C739" i="106"/>
  <c r="C737" i="106"/>
  <c r="K729" i="106"/>
  <c r="K737" i="106" s="1"/>
  <c r="C733" i="106"/>
  <c r="J797" i="106"/>
  <c r="J652" i="106"/>
  <c r="J656" i="106"/>
  <c r="L657" i="106"/>
  <c r="L665" i="106" s="1"/>
  <c r="F658" i="106"/>
  <c r="M658" i="106" s="1"/>
  <c r="B660" i="106"/>
  <c r="D661" i="106"/>
  <c r="L661" i="106" s="1"/>
  <c r="F662" i="106"/>
  <c r="M662" i="106" s="1"/>
  <c r="B664" i="106"/>
  <c r="D665" i="106"/>
  <c r="F666" i="106"/>
  <c r="M666" i="106" s="1"/>
  <c r="J668" i="106"/>
  <c r="J672" i="106"/>
  <c r="B676" i="106"/>
  <c r="F678" i="106"/>
  <c r="H679" i="106"/>
  <c r="B680" i="106"/>
  <c r="F682" i="106"/>
  <c r="H683" i="106"/>
  <c r="B684" i="106"/>
  <c r="J688" i="106"/>
  <c r="J692" i="106"/>
  <c r="L693" i="106"/>
  <c r="L701" i="106" s="1"/>
  <c r="F694" i="106"/>
  <c r="M694" i="106" s="1"/>
  <c r="B696" i="106"/>
  <c r="D697" i="106"/>
  <c r="L697" i="106" s="1"/>
  <c r="F698" i="106"/>
  <c r="M698" i="106" s="1"/>
  <c r="B700" i="106"/>
  <c r="D701" i="106"/>
  <c r="F702" i="106"/>
  <c r="J704" i="106"/>
  <c r="J708" i="106"/>
  <c r="J712" i="106"/>
  <c r="F714" i="106"/>
  <c r="H715" i="106"/>
  <c r="B716" i="106"/>
  <c r="F718" i="106"/>
  <c r="H719" i="106"/>
  <c r="B720" i="106"/>
  <c r="J724" i="106"/>
  <c r="J728" i="106"/>
  <c r="D739" i="106"/>
  <c r="L739" i="106" s="1"/>
  <c r="D736" i="106"/>
  <c r="L736" i="106" s="1"/>
  <c r="L729" i="106"/>
  <c r="L737" i="106" s="1"/>
  <c r="F730" i="106"/>
  <c r="J732" i="106"/>
  <c r="D733" i="106"/>
  <c r="L733" i="106" s="1"/>
  <c r="E756" i="106"/>
  <c r="E752" i="106"/>
  <c r="E748" i="106"/>
  <c r="M748" i="106" s="1"/>
  <c r="E744" i="106"/>
  <c r="E740" i="106"/>
  <c r="E754" i="106"/>
  <c r="E750" i="106"/>
  <c r="E746" i="106"/>
  <c r="M746" i="106" s="1"/>
  <c r="E742" i="106"/>
  <c r="M742" i="106" s="1"/>
  <c r="E749" i="106"/>
  <c r="E753" i="106"/>
  <c r="I774" i="106"/>
  <c r="I770" i="106"/>
  <c r="I766" i="106"/>
  <c r="I762" i="106"/>
  <c r="O762" i="106" s="1"/>
  <c r="I758" i="106"/>
  <c r="O758" i="106" s="1"/>
  <c r="I775" i="106"/>
  <c r="O775" i="106" s="1"/>
  <c r="I771" i="106"/>
  <c r="I772" i="106"/>
  <c r="O772" i="106" s="1"/>
  <c r="I768" i="106"/>
  <c r="O768" i="106" s="1"/>
  <c r="I764" i="106"/>
  <c r="O764" i="106" s="1"/>
  <c r="I760" i="106"/>
  <c r="O760" i="106" s="1"/>
  <c r="E792" i="106"/>
  <c r="E788" i="106"/>
  <c r="M788" i="106" s="1"/>
  <c r="E784" i="106"/>
  <c r="E780" i="106"/>
  <c r="E776" i="106"/>
  <c r="M776" i="106" s="1"/>
  <c r="E793" i="106"/>
  <c r="E789" i="106"/>
  <c r="E785" i="106"/>
  <c r="E781" i="106"/>
  <c r="E777" i="106"/>
  <c r="M777" i="106" s="1"/>
  <c r="E790" i="106"/>
  <c r="E786" i="106"/>
  <c r="E782" i="106"/>
  <c r="M782" i="106" s="1"/>
  <c r="E778" i="106"/>
  <c r="O832" i="106"/>
  <c r="C652" i="106"/>
  <c r="K652" i="106" s="1"/>
  <c r="C656" i="106"/>
  <c r="K656" i="106" s="1"/>
  <c r="M657" i="106"/>
  <c r="M665" i="106" s="1"/>
  <c r="G658" i="106"/>
  <c r="N658" i="106" s="1"/>
  <c r="C660" i="106"/>
  <c r="E661" i="106"/>
  <c r="G662" i="106"/>
  <c r="N662" i="106" s="1"/>
  <c r="C664" i="106"/>
  <c r="E665" i="106"/>
  <c r="G666" i="106"/>
  <c r="N666" i="106" s="1"/>
  <c r="G670" i="106"/>
  <c r="N670" i="106" s="1"/>
  <c r="G674" i="106"/>
  <c r="N674" i="106" s="1"/>
  <c r="C676" i="106"/>
  <c r="G678" i="106"/>
  <c r="N678" i="106" s="1"/>
  <c r="I679" i="106"/>
  <c r="C680" i="106"/>
  <c r="G682" i="106"/>
  <c r="N682" i="106" s="1"/>
  <c r="I683" i="106"/>
  <c r="C684" i="106"/>
  <c r="C688" i="106"/>
  <c r="K688" i="106" s="1"/>
  <c r="C692" i="106"/>
  <c r="K692" i="106" s="1"/>
  <c r="M693" i="106"/>
  <c r="M701" i="106" s="1"/>
  <c r="G694" i="106"/>
  <c r="N694" i="106" s="1"/>
  <c r="C696" i="106"/>
  <c r="E697" i="106"/>
  <c r="G698" i="106"/>
  <c r="N698" i="106" s="1"/>
  <c r="C700" i="106"/>
  <c r="E701" i="106"/>
  <c r="G702" i="106"/>
  <c r="N702" i="106" s="1"/>
  <c r="G706" i="106"/>
  <c r="N706" i="106" s="1"/>
  <c r="G710" i="106"/>
  <c r="N710" i="106" s="1"/>
  <c r="C712" i="106"/>
  <c r="K712" i="106" s="1"/>
  <c r="G714" i="106"/>
  <c r="N714" i="106" s="1"/>
  <c r="I715" i="106"/>
  <c r="C716" i="106"/>
  <c r="G718" i="106"/>
  <c r="N718" i="106" s="1"/>
  <c r="I719" i="106"/>
  <c r="C720" i="106"/>
  <c r="C724" i="106"/>
  <c r="K724" i="106" s="1"/>
  <c r="C728" i="106"/>
  <c r="K728" i="106" s="1"/>
  <c r="E736" i="106"/>
  <c r="E738" i="106"/>
  <c r="M729" i="106"/>
  <c r="M737" i="106" s="1"/>
  <c r="C732" i="106"/>
  <c r="K732" i="106" s="1"/>
  <c r="E733" i="106"/>
  <c r="C738" i="106"/>
  <c r="E739" i="106"/>
  <c r="F756" i="106"/>
  <c r="F752" i="106"/>
  <c r="F748" i="106"/>
  <c r="F744" i="106"/>
  <c r="F740" i="106"/>
  <c r="F757" i="106"/>
  <c r="M757" i="106" s="1"/>
  <c r="F753" i="106"/>
  <c r="F749" i="106"/>
  <c r="F745" i="106"/>
  <c r="M745" i="106" s="1"/>
  <c r="F741" i="106"/>
  <c r="M741" i="106" s="1"/>
  <c r="F754" i="106"/>
  <c r="F750" i="106"/>
  <c r="J761" i="106"/>
  <c r="B774" i="106"/>
  <c r="B770" i="106"/>
  <c r="B766" i="106"/>
  <c r="B762" i="106"/>
  <c r="B758" i="106"/>
  <c r="B775" i="106"/>
  <c r="B771" i="106"/>
  <c r="B767" i="106"/>
  <c r="B763" i="106"/>
  <c r="B759" i="106"/>
  <c r="B772" i="106"/>
  <c r="B768" i="106"/>
  <c r="B764" i="106"/>
  <c r="B760" i="106"/>
  <c r="K765" i="106"/>
  <c r="K773" i="106" s="1"/>
  <c r="J765" i="106"/>
  <c r="J773" i="106" s="1"/>
  <c r="B773" i="106"/>
  <c r="F792" i="106"/>
  <c r="F788" i="106"/>
  <c r="F784" i="106"/>
  <c r="F780" i="106"/>
  <c r="F776" i="106"/>
  <c r="F793" i="106"/>
  <c r="F789" i="106"/>
  <c r="F785" i="106"/>
  <c r="F781" i="106"/>
  <c r="F777" i="106"/>
  <c r="F790" i="106"/>
  <c r="F786" i="106"/>
  <c r="F782" i="106"/>
  <c r="F778" i="106"/>
  <c r="J841" i="106"/>
  <c r="O871" i="106"/>
  <c r="J651" i="106"/>
  <c r="J655" i="106"/>
  <c r="N657" i="106"/>
  <c r="N665" i="106" s="1"/>
  <c r="B659" i="106"/>
  <c r="D660" i="106"/>
  <c r="L660" i="106" s="1"/>
  <c r="F661" i="106"/>
  <c r="B663" i="106"/>
  <c r="J671" i="106"/>
  <c r="J675" i="106"/>
  <c r="J683" i="106" s="1"/>
  <c r="F677" i="106"/>
  <c r="H678" i="106"/>
  <c r="B679" i="106"/>
  <c r="F681" i="106"/>
  <c r="B683" i="106"/>
  <c r="J687" i="106"/>
  <c r="J691" i="106"/>
  <c r="N693" i="106"/>
  <c r="N701" i="106" s="1"/>
  <c r="B695" i="106"/>
  <c r="D696" i="106"/>
  <c r="L696" i="106" s="1"/>
  <c r="F697" i="106"/>
  <c r="B699" i="106"/>
  <c r="J707" i="106"/>
  <c r="H710" i="106"/>
  <c r="O710" i="106" s="1"/>
  <c r="J711" i="106"/>
  <c r="J719" i="106" s="1"/>
  <c r="F713" i="106"/>
  <c r="H714" i="106"/>
  <c r="B715" i="106"/>
  <c r="F717" i="106"/>
  <c r="B719" i="106"/>
  <c r="J723" i="106"/>
  <c r="J727" i="106"/>
  <c r="F736" i="106"/>
  <c r="F737" i="106"/>
  <c r="J731" i="106"/>
  <c r="D732" i="106"/>
  <c r="L732" i="106" s="1"/>
  <c r="F733" i="106"/>
  <c r="K735" i="106"/>
  <c r="J735" i="106"/>
  <c r="D738" i="106"/>
  <c r="L738" i="106" s="1"/>
  <c r="F739" i="106"/>
  <c r="E755" i="106"/>
  <c r="O771" i="106"/>
  <c r="I773" i="106"/>
  <c r="I810" i="106"/>
  <c r="I811" i="106"/>
  <c r="O811" i="106" s="1"/>
  <c r="I806" i="106"/>
  <c r="I802" i="106"/>
  <c r="O801" i="106"/>
  <c r="O809" i="106" s="1"/>
  <c r="I798" i="106"/>
  <c r="O798" i="106" s="1"/>
  <c r="I794" i="106"/>
  <c r="O794" i="106" s="1"/>
  <c r="I807" i="106"/>
  <c r="I803" i="106"/>
  <c r="O803" i="106" s="1"/>
  <c r="I799" i="106"/>
  <c r="O799" i="106" s="1"/>
  <c r="I795" i="106"/>
  <c r="O795" i="106" s="1"/>
  <c r="I808" i="106"/>
  <c r="O808" i="106" s="1"/>
  <c r="I804" i="106"/>
  <c r="O804" i="106" s="1"/>
  <c r="I800" i="106"/>
  <c r="O800" i="106" s="1"/>
  <c r="I796" i="106"/>
  <c r="O796" i="106" s="1"/>
  <c r="K853" i="106"/>
  <c r="J853" i="106"/>
  <c r="C651" i="106"/>
  <c r="K651" i="106" s="1"/>
  <c r="C655" i="106"/>
  <c r="K655" i="106" s="1"/>
  <c r="C659" i="106"/>
  <c r="E660" i="106"/>
  <c r="M660" i="106" s="1"/>
  <c r="G661" i="106"/>
  <c r="N661" i="106" s="1"/>
  <c r="C663" i="106"/>
  <c r="G669" i="106"/>
  <c r="N669" i="106" s="1"/>
  <c r="G673" i="106"/>
  <c r="N673" i="106" s="1"/>
  <c r="G677" i="106"/>
  <c r="N677" i="106" s="1"/>
  <c r="I678" i="106"/>
  <c r="C679" i="106"/>
  <c r="G681" i="106"/>
  <c r="N681" i="106" s="1"/>
  <c r="C687" i="106"/>
  <c r="K687" i="106" s="1"/>
  <c r="C691" i="106"/>
  <c r="K691" i="106" s="1"/>
  <c r="C695" i="106"/>
  <c r="E696" i="106"/>
  <c r="M696" i="106" s="1"/>
  <c r="G697" i="106"/>
  <c r="N697" i="106" s="1"/>
  <c r="C699" i="106"/>
  <c r="G705" i="106"/>
  <c r="N705" i="106" s="1"/>
  <c r="G709" i="106"/>
  <c r="N709" i="106" s="1"/>
  <c r="G713" i="106"/>
  <c r="N713" i="106" s="1"/>
  <c r="I714" i="106"/>
  <c r="C715" i="106"/>
  <c r="G717" i="106"/>
  <c r="N717" i="106" s="1"/>
  <c r="C723" i="106"/>
  <c r="K723" i="106" s="1"/>
  <c r="C727" i="106"/>
  <c r="K727" i="106" s="1"/>
  <c r="E728" i="106"/>
  <c r="M728" i="106" s="1"/>
  <c r="G737" i="106"/>
  <c r="G739" i="106"/>
  <c r="N739" i="106" s="1"/>
  <c r="G735" i="106"/>
  <c r="N735" i="106" s="1"/>
  <c r="C731" i="106"/>
  <c r="K731" i="106" s="1"/>
  <c r="E732" i="106"/>
  <c r="M732" i="106" s="1"/>
  <c r="G733" i="106"/>
  <c r="N733" i="106" s="1"/>
  <c r="C735" i="106"/>
  <c r="B736" i="106"/>
  <c r="D737" i="106"/>
  <c r="F738" i="106"/>
  <c r="H757" i="106"/>
  <c r="O757" i="106" s="1"/>
  <c r="H753" i="106"/>
  <c r="H749" i="106"/>
  <c r="O749" i="106" s="1"/>
  <c r="H745" i="106"/>
  <c r="O745" i="106" s="1"/>
  <c r="H741" i="106"/>
  <c r="O741" i="106" s="1"/>
  <c r="H754" i="106"/>
  <c r="O754" i="106" s="1"/>
  <c r="H750" i="106"/>
  <c r="H746" i="106"/>
  <c r="O746" i="106" s="1"/>
  <c r="H742" i="106"/>
  <c r="O742" i="106" s="1"/>
  <c r="H755" i="106"/>
  <c r="H751" i="106"/>
  <c r="O751" i="106" s="1"/>
  <c r="O747" i="106"/>
  <c r="O755" i="106" s="1"/>
  <c r="E751" i="106"/>
  <c r="M751" i="106" s="1"/>
  <c r="H752" i="106"/>
  <c r="F755" i="106"/>
  <c r="O793" i="106"/>
  <c r="J793" i="106"/>
  <c r="B811" i="106"/>
  <c r="B810" i="106"/>
  <c r="B806" i="106"/>
  <c r="B802" i="106"/>
  <c r="B798" i="106"/>
  <c r="B794" i="106"/>
  <c r="B807" i="106"/>
  <c r="B803" i="106"/>
  <c r="B799" i="106"/>
  <c r="B795" i="106"/>
  <c r="B808" i="106"/>
  <c r="B804" i="106"/>
  <c r="B800" i="106"/>
  <c r="B796" i="106"/>
  <c r="K801" i="106"/>
  <c r="K809" i="106" s="1"/>
  <c r="J801" i="106"/>
  <c r="J809" i="106" s="1"/>
  <c r="B805" i="106"/>
  <c r="K817" i="106"/>
  <c r="J817" i="106"/>
  <c r="J829" i="106"/>
  <c r="C749" i="106"/>
  <c r="K749" i="106" s="1"/>
  <c r="G751" i="106"/>
  <c r="N751" i="106" s="1"/>
  <c r="C753" i="106"/>
  <c r="K753" i="106" s="1"/>
  <c r="G755" i="106"/>
  <c r="C757" i="106"/>
  <c r="K757" i="106" s="1"/>
  <c r="G767" i="106"/>
  <c r="N767" i="106" s="1"/>
  <c r="C769" i="106"/>
  <c r="K769" i="106" s="1"/>
  <c r="G771" i="106"/>
  <c r="N771" i="106" s="1"/>
  <c r="C773" i="106"/>
  <c r="G775" i="106"/>
  <c r="N775" i="106" s="1"/>
  <c r="I776" i="106"/>
  <c r="O776" i="106" s="1"/>
  <c r="I780" i="106"/>
  <c r="O780" i="106" s="1"/>
  <c r="O783" i="106"/>
  <c r="O791" i="106" s="1"/>
  <c r="I784" i="106"/>
  <c r="O784" i="106" s="1"/>
  <c r="C785" i="106"/>
  <c r="K785" i="106" s="1"/>
  <c r="G787" i="106"/>
  <c r="N787" i="106" s="1"/>
  <c r="I788" i="106"/>
  <c r="O788" i="106" s="1"/>
  <c r="C789" i="106"/>
  <c r="K789" i="106" s="1"/>
  <c r="G791" i="106"/>
  <c r="I792" i="106"/>
  <c r="O792" i="106" s="1"/>
  <c r="C793" i="106"/>
  <c r="K793" i="106" s="1"/>
  <c r="E794" i="106"/>
  <c r="M794" i="106" s="1"/>
  <c r="E798" i="106"/>
  <c r="M798" i="106" s="1"/>
  <c r="E802" i="106"/>
  <c r="M802" i="106" s="1"/>
  <c r="G803" i="106"/>
  <c r="N803" i="106" s="1"/>
  <c r="C805" i="106"/>
  <c r="E806" i="106"/>
  <c r="M806" i="106" s="1"/>
  <c r="G807" i="106"/>
  <c r="N807" i="106" s="1"/>
  <c r="C809" i="106"/>
  <c r="E810" i="106"/>
  <c r="M810" i="106" s="1"/>
  <c r="F811" i="106"/>
  <c r="M811" i="106" s="1"/>
  <c r="F815" i="106"/>
  <c r="M815" i="106" s="1"/>
  <c r="F818" i="106"/>
  <c r="M895" i="106"/>
  <c r="M961" i="106"/>
  <c r="G973" i="106"/>
  <c r="N973" i="106" s="1"/>
  <c r="G969" i="106"/>
  <c r="N969" i="106" s="1"/>
  <c r="G965" i="106"/>
  <c r="N965" i="106" s="1"/>
  <c r="G961" i="106"/>
  <c r="N961" i="106" s="1"/>
  <c r="G957" i="106"/>
  <c r="N957" i="106" s="1"/>
  <c r="G970" i="106"/>
  <c r="N970" i="106" s="1"/>
  <c r="G966" i="106"/>
  <c r="N966" i="106" s="1"/>
  <c r="G962" i="106"/>
  <c r="N962" i="106" s="1"/>
  <c r="G958" i="106"/>
  <c r="N958" i="106" s="1"/>
  <c r="G972" i="106"/>
  <c r="N972" i="106" s="1"/>
  <c r="G968" i="106"/>
  <c r="N968" i="106" s="1"/>
  <c r="G964" i="106"/>
  <c r="N964" i="106" s="1"/>
  <c r="G960" i="106"/>
  <c r="N960" i="106" s="1"/>
  <c r="G956" i="106"/>
  <c r="N956" i="106" s="1"/>
  <c r="N963" i="106"/>
  <c r="N971" i="106" s="1"/>
  <c r="G971" i="106"/>
  <c r="G959" i="106"/>
  <c r="N959" i="106" s="1"/>
  <c r="G967" i="106"/>
  <c r="N967" i="106" s="1"/>
  <c r="L765" i="106"/>
  <c r="L773" i="106" s="1"/>
  <c r="D769" i="106"/>
  <c r="L769" i="106" s="1"/>
  <c r="D773" i="106"/>
  <c r="H787" i="106"/>
  <c r="H791" i="106"/>
  <c r="L801" i="106"/>
  <c r="L809" i="106" s="1"/>
  <c r="D805" i="106"/>
  <c r="L805" i="106" s="1"/>
  <c r="D809" i="106"/>
  <c r="E828" i="106"/>
  <c r="E824" i="106"/>
  <c r="E820" i="106"/>
  <c r="E816" i="106"/>
  <c r="E812" i="106"/>
  <c r="E829" i="106"/>
  <c r="E825" i="106"/>
  <c r="E821" i="106"/>
  <c r="E817" i="106"/>
  <c r="E813" i="106"/>
  <c r="E826" i="106"/>
  <c r="M826" i="106" s="1"/>
  <c r="E822" i="106"/>
  <c r="E818" i="106"/>
  <c r="E814" i="106"/>
  <c r="M814" i="106" s="1"/>
  <c r="F823" i="106"/>
  <c r="M823" i="106" s="1"/>
  <c r="O831" i="106"/>
  <c r="J869" i="106"/>
  <c r="K889" i="106"/>
  <c r="J889" i="106"/>
  <c r="I787" i="106"/>
  <c r="I791" i="106"/>
  <c r="M801" i="106"/>
  <c r="M809" i="106" s="1"/>
  <c r="E805" i="106"/>
  <c r="E809" i="106"/>
  <c r="F828" i="106"/>
  <c r="F824" i="106"/>
  <c r="F820" i="106"/>
  <c r="F816" i="106"/>
  <c r="F812" i="106"/>
  <c r="F829" i="106"/>
  <c r="F825" i="106"/>
  <c r="F821" i="106"/>
  <c r="F817" i="106"/>
  <c r="F813" i="106"/>
  <c r="K828" i="106"/>
  <c r="I846" i="106"/>
  <c r="I842" i="106"/>
  <c r="I838" i="106"/>
  <c r="O838" i="106" s="1"/>
  <c r="I834" i="106"/>
  <c r="I830" i="106"/>
  <c r="O830" i="106" s="1"/>
  <c r="I847" i="106"/>
  <c r="O847" i="106" s="1"/>
  <c r="I843" i="106"/>
  <c r="O843" i="106" s="1"/>
  <c r="I839" i="106"/>
  <c r="O839" i="106" s="1"/>
  <c r="I835" i="106"/>
  <c r="O835" i="106" s="1"/>
  <c r="I831" i="106"/>
  <c r="I844" i="106"/>
  <c r="O844" i="106" s="1"/>
  <c r="I840" i="106"/>
  <c r="O840" i="106" s="1"/>
  <c r="I836" i="106"/>
  <c r="O836" i="106" s="1"/>
  <c r="I832" i="106"/>
  <c r="J743" i="106"/>
  <c r="J747" i="106"/>
  <c r="J755" i="106" s="1"/>
  <c r="D748" i="106"/>
  <c r="L748" i="106" s="1"/>
  <c r="B751" i="106"/>
  <c r="D752" i="106"/>
  <c r="L752" i="106" s="1"/>
  <c r="B755" i="106"/>
  <c r="D756" i="106"/>
  <c r="L756" i="106" s="1"/>
  <c r="D760" i="106"/>
  <c r="L760" i="106" s="1"/>
  <c r="D764" i="106"/>
  <c r="L764" i="106" s="1"/>
  <c r="N765" i="106"/>
  <c r="N773" i="106" s="1"/>
  <c r="H766" i="106"/>
  <c r="O766" i="106" s="1"/>
  <c r="D768" i="106"/>
  <c r="L768" i="106" s="1"/>
  <c r="F769" i="106"/>
  <c r="H770" i="106"/>
  <c r="O770" i="106" s="1"/>
  <c r="D772" i="106"/>
  <c r="L772" i="106" s="1"/>
  <c r="F773" i="106"/>
  <c r="H774" i="106"/>
  <c r="O774" i="106" s="1"/>
  <c r="H778" i="106"/>
  <c r="J779" i="106"/>
  <c r="H782" i="106"/>
  <c r="J783" i="106"/>
  <c r="J791" i="106" s="1"/>
  <c r="D784" i="106"/>
  <c r="L784" i="106" s="1"/>
  <c r="H786" i="106"/>
  <c r="O786" i="106" s="1"/>
  <c r="B787" i="106"/>
  <c r="D788" i="106"/>
  <c r="L788" i="106" s="1"/>
  <c r="H790" i="106"/>
  <c r="O790" i="106" s="1"/>
  <c r="B791" i="106"/>
  <c r="D792" i="106"/>
  <c r="L792" i="106" s="1"/>
  <c r="D796" i="106"/>
  <c r="L796" i="106" s="1"/>
  <c r="D800" i="106"/>
  <c r="L800" i="106" s="1"/>
  <c r="N801" i="106"/>
  <c r="N809" i="106" s="1"/>
  <c r="H802" i="106"/>
  <c r="O802" i="106" s="1"/>
  <c r="D804" i="106"/>
  <c r="L804" i="106" s="1"/>
  <c r="F805" i="106"/>
  <c r="H806" i="106"/>
  <c r="O806" i="106" s="1"/>
  <c r="D808" i="106"/>
  <c r="L808" i="106" s="1"/>
  <c r="F809" i="106"/>
  <c r="H810" i="106"/>
  <c r="J820" i="106"/>
  <c r="I833" i="106"/>
  <c r="O833" i="106" s="1"/>
  <c r="B846" i="106"/>
  <c r="B842" i="106"/>
  <c r="B838" i="106"/>
  <c r="B834" i="106"/>
  <c r="B830" i="106"/>
  <c r="B847" i="106"/>
  <c r="B843" i="106"/>
  <c r="B839" i="106"/>
  <c r="B835" i="106"/>
  <c r="B831" i="106"/>
  <c r="B844" i="106"/>
  <c r="B840" i="106"/>
  <c r="B836" i="106"/>
  <c r="K837" i="106"/>
  <c r="K845" i="106" s="1"/>
  <c r="J837" i="106"/>
  <c r="J845" i="106" s="1"/>
  <c r="K747" i="106"/>
  <c r="K755" i="106" s="1"/>
  <c r="G749" i="106"/>
  <c r="N749" i="106" s="1"/>
  <c r="C751" i="106"/>
  <c r="G753" i="106"/>
  <c r="N753" i="106" s="1"/>
  <c r="O765" i="106"/>
  <c r="O773" i="106" s="1"/>
  <c r="C767" i="106"/>
  <c r="G769" i="106"/>
  <c r="N769" i="106" s="1"/>
  <c r="C771" i="106"/>
  <c r="I778" i="106"/>
  <c r="I782" i="106"/>
  <c r="K783" i="106"/>
  <c r="K791" i="106" s="1"/>
  <c r="G785" i="106"/>
  <c r="N785" i="106" s="1"/>
  <c r="I786" i="106"/>
  <c r="C787" i="106"/>
  <c r="G789" i="106"/>
  <c r="N789" i="106" s="1"/>
  <c r="E796" i="106"/>
  <c r="M796" i="106" s="1"/>
  <c r="E800" i="106"/>
  <c r="M800" i="106" s="1"/>
  <c r="C803" i="106"/>
  <c r="E804" i="106"/>
  <c r="G805" i="106"/>
  <c r="N805" i="106" s="1"/>
  <c r="C807" i="106"/>
  <c r="G809" i="106"/>
  <c r="H829" i="106"/>
  <c r="O829" i="106" s="1"/>
  <c r="H825" i="106"/>
  <c r="O825" i="106" s="1"/>
  <c r="H821" i="106"/>
  <c r="O821" i="106" s="1"/>
  <c r="H817" i="106"/>
  <c r="O817" i="106" s="1"/>
  <c r="H813" i="106"/>
  <c r="O813" i="106" s="1"/>
  <c r="H826" i="106"/>
  <c r="O826" i="106" s="1"/>
  <c r="H822" i="106"/>
  <c r="H818" i="106"/>
  <c r="O818" i="106" s="1"/>
  <c r="H814" i="106"/>
  <c r="O814" i="106" s="1"/>
  <c r="O819" i="106"/>
  <c r="O827" i="106" s="1"/>
  <c r="F822" i="106"/>
  <c r="H828" i="106"/>
  <c r="J833" i="106"/>
  <c r="O834" i="106"/>
  <c r="E864" i="106"/>
  <c r="E860" i="106"/>
  <c r="M860" i="106" s="1"/>
  <c r="E862" i="106"/>
  <c r="E859" i="106"/>
  <c r="M859" i="106" s="1"/>
  <c r="E861" i="106"/>
  <c r="E856" i="106"/>
  <c r="M856" i="106" s="1"/>
  <c r="E852" i="106"/>
  <c r="E848" i="106"/>
  <c r="E857" i="106"/>
  <c r="E853" i="106"/>
  <c r="M853" i="106" s="1"/>
  <c r="E849" i="106"/>
  <c r="E863" i="106"/>
  <c r="E865" i="106"/>
  <c r="E854" i="106"/>
  <c r="M854" i="106" s="1"/>
  <c r="E850" i="106"/>
  <c r="K864" i="106"/>
  <c r="J864" i="106"/>
  <c r="I882" i="106"/>
  <c r="I878" i="106"/>
  <c r="I874" i="106"/>
  <c r="I870" i="106"/>
  <c r="O870" i="106" s="1"/>
  <c r="I866" i="106"/>
  <c r="O866" i="106" s="1"/>
  <c r="I883" i="106"/>
  <c r="O883" i="106" s="1"/>
  <c r="I879" i="106"/>
  <c r="O879" i="106" s="1"/>
  <c r="I880" i="106"/>
  <c r="I876" i="106"/>
  <c r="O876" i="106" s="1"/>
  <c r="I872" i="106"/>
  <c r="O872" i="106" s="1"/>
  <c r="I868" i="106"/>
  <c r="O868" i="106" s="1"/>
  <c r="I877" i="106"/>
  <c r="I869" i="106"/>
  <c r="O869" i="106" s="1"/>
  <c r="I875" i="106"/>
  <c r="O875" i="106" s="1"/>
  <c r="I867" i="106"/>
  <c r="L747" i="106"/>
  <c r="L755" i="106" s="1"/>
  <c r="B750" i="106"/>
  <c r="D751" i="106"/>
  <c r="L751" i="106" s="1"/>
  <c r="D759" i="106"/>
  <c r="L759" i="106" s="1"/>
  <c r="D763" i="106"/>
  <c r="L763" i="106" s="1"/>
  <c r="D767" i="106"/>
  <c r="L767" i="106" s="1"/>
  <c r="F768" i="106"/>
  <c r="H769" i="106"/>
  <c r="O769" i="106" s="1"/>
  <c r="D771" i="106"/>
  <c r="L771" i="106" s="1"/>
  <c r="H777" i="106"/>
  <c r="O777" i="106" s="1"/>
  <c r="H781" i="106"/>
  <c r="O781" i="106" s="1"/>
  <c r="L783" i="106"/>
  <c r="L791" i="106" s="1"/>
  <c r="H785" i="106"/>
  <c r="O785" i="106" s="1"/>
  <c r="B786" i="106"/>
  <c r="D787" i="106"/>
  <c r="L787" i="106" s="1"/>
  <c r="H789" i="106"/>
  <c r="O789" i="106" s="1"/>
  <c r="D795" i="106"/>
  <c r="L795" i="106" s="1"/>
  <c r="D799" i="106"/>
  <c r="L799" i="106" s="1"/>
  <c r="D803" i="106"/>
  <c r="L803" i="106" s="1"/>
  <c r="F804" i="106"/>
  <c r="H805" i="106"/>
  <c r="O805" i="106" s="1"/>
  <c r="D807" i="106"/>
  <c r="L807" i="106" s="1"/>
  <c r="J825" i="106"/>
  <c r="E827" i="106"/>
  <c r="J828" i="106"/>
  <c r="F864" i="106"/>
  <c r="F860" i="106"/>
  <c r="F865" i="106"/>
  <c r="F861" i="106"/>
  <c r="F856" i="106"/>
  <c r="F852" i="106"/>
  <c r="F848" i="106"/>
  <c r="F862" i="106"/>
  <c r="F857" i="106"/>
  <c r="F853" i="106"/>
  <c r="F849" i="106"/>
  <c r="F863" i="106"/>
  <c r="F854" i="106"/>
  <c r="F850" i="106"/>
  <c r="J857" i="106"/>
  <c r="J861" i="106"/>
  <c r="K868" i="106"/>
  <c r="J868" i="106"/>
  <c r="B882" i="106"/>
  <c r="B878" i="106"/>
  <c r="B874" i="106"/>
  <c r="B870" i="106"/>
  <c r="B866" i="106"/>
  <c r="B883" i="106"/>
  <c r="B879" i="106"/>
  <c r="B875" i="106"/>
  <c r="B871" i="106"/>
  <c r="B867" i="106"/>
  <c r="B880" i="106"/>
  <c r="B876" i="106"/>
  <c r="B872" i="106"/>
  <c r="K873" i="106"/>
  <c r="K881" i="106" s="1"/>
  <c r="B877" i="106"/>
  <c r="J873" i="106"/>
  <c r="J881" i="106" s="1"/>
  <c r="O880" i="106"/>
  <c r="I820" i="106"/>
  <c r="O820" i="106" s="1"/>
  <c r="C821" i="106"/>
  <c r="K821" i="106" s="1"/>
  <c r="G823" i="106"/>
  <c r="N823" i="106" s="1"/>
  <c r="I824" i="106"/>
  <c r="O824" i="106" s="1"/>
  <c r="C825" i="106"/>
  <c r="K825" i="106" s="1"/>
  <c r="G827" i="106"/>
  <c r="I828" i="106"/>
  <c r="C829" i="106"/>
  <c r="K829" i="106" s="1"/>
  <c r="E838" i="106"/>
  <c r="M838" i="106" s="1"/>
  <c r="C841" i="106"/>
  <c r="K841" i="106" s="1"/>
  <c r="E842" i="106"/>
  <c r="M842" i="106" s="1"/>
  <c r="G843" i="106"/>
  <c r="N843" i="106" s="1"/>
  <c r="C845" i="106"/>
  <c r="E846" i="106"/>
  <c r="M846" i="106" s="1"/>
  <c r="G847" i="106"/>
  <c r="N847" i="106" s="1"/>
  <c r="G865" i="106"/>
  <c r="N865" i="106" s="1"/>
  <c r="G861" i="106"/>
  <c r="N861" i="106" s="1"/>
  <c r="G863" i="106"/>
  <c r="G859" i="106"/>
  <c r="N859" i="106" s="1"/>
  <c r="I856" i="106"/>
  <c r="O856" i="106" s="1"/>
  <c r="G858" i="106"/>
  <c r="N858" i="106" s="1"/>
  <c r="J947" i="106"/>
  <c r="K947" i="106"/>
  <c r="L837" i="106"/>
  <c r="L845" i="106" s="1"/>
  <c r="D841" i="106"/>
  <c r="L841" i="106" s="1"/>
  <c r="D845" i="106"/>
  <c r="J848" i="106"/>
  <c r="J852" i="106"/>
  <c r="H865" i="106"/>
  <c r="O865" i="106" s="1"/>
  <c r="H861" i="106"/>
  <c r="H862" i="106"/>
  <c r="H858" i="106"/>
  <c r="J856" i="106"/>
  <c r="K902" i="106"/>
  <c r="J902" i="106"/>
  <c r="K973" i="106"/>
  <c r="J973" i="106"/>
  <c r="C820" i="106"/>
  <c r="K820" i="106" s="1"/>
  <c r="G822" i="106"/>
  <c r="N822" i="106" s="1"/>
  <c r="I823" i="106"/>
  <c r="O823" i="106" s="1"/>
  <c r="C824" i="106"/>
  <c r="K824" i="106" s="1"/>
  <c r="G826" i="106"/>
  <c r="N826" i="106" s="1"/>
  <c r="I827" i="106"/>
  <c r="C828" i="106"/>
  <c r="M837" i="106"/>
  <c r="M845" i="106" s="1"/>
  <c r="C840" i="106"/>
  <c r="E841" i="106"/>
  <c r="G842" i="106"/>
  <c r="N842" i="106" s="1"/>
  <c r="C844" i="106"/>
  <c r="E845" i="106"/>
  <c r="G846" i="106"/>
  <c r="N846" i="106" s="1"/>
  <c r="I862" i="106"/>
  <c r="I858" i="106"/>
  <c r="I864" i="106"/>
  <c r="I860" i="106"/>
  <c r="O860" i="106" s="1"/>
  <c r="H864" i="106"/>
  <c r="O867" i="106"/>
  <c r="E880" i="106"/>
  <c r="M880" i="106" s="1"/>
  <c r="E876" i="106"/>
  <c r="E872" i="106"/>
  <c r="E868" i="106"/>
  <c r="M868" i="106" s="1"/>
  <c r="E881" i="106"/>
  <c r="E877" i="106"/>
  <c r="M877" i="106" s="1"/>
  <c r="E882" i="106"/>
  <c r="M882" i="106" s="1"/>
  <c r="E878" i="106"/>
  <c r="M878" i="106" s="1"/>
  <c r="E874" i="106"/>
  <c r="M874" i="106" s="1"/>
  <c r="E870" i="106"/>
  <c r="M870" i="106" s="1"/>
  <c r="E866" i="106"/>
  <c r="M866" i="106" s="1"/>
  <c r="M941" i="106"/>
  <c r="M986" i="106"/>
  <c r="J815" i="106"/>
  <c r="J819" i="106"/>
  <c r="J827" i="106" s="1"/>
  <c r="D820" i="106"/>
  <c r="L820" i="106" s="1"/>
  <c r="B823" i="106"/>
  <c r="D824" i="106"/>
  <c r="L824" i="106" s="1"/>
  <c r="B827" i="106"/>
  <c r="D828" i="106"/>
  <c r="L828" i="106" s="1"/>
  <c r="D832" i="106"/>
  <c r="L832" i="106" s="1"/>
  <c r="D836" i="106"/>
  <c r="L836" i="106" s="1"/>
  <c r="D840" i="106"/>
  <c r="L840" i="106" s="1"/>
  <c r="F841" i="106"/>
  <c r="H842" i="106"/>
  <c r="D844" i="106"/>
  <c r="L844" i="106" s="1"/>
  <c r="F845" i="106"/>
  <c r="H846" i="106"/>
  <c r="O846" i="106" s="1"/>
  <c r="H850" i="106"/>
  <c r="J851" i="106"/>
  <c r="H854" i="106"/>
  <c r="B862" i="106"/>
  <c r="B863" i="106"/>
  <c r="B859" i="106"/>
  <c r="J855" i="106"/>
  <c r="J863" i="106" s="1"/>
  <c r="B858" i="106"/>
  <c r="B860" i="106"/>
  <c r="H863" i="106"/>
  <c r="E871" i="106"/>
  <c r="M871" i="106" s="1"/>
  <c r="G937" i="106"/>
  <c r="N937" i="106" s="1"/>
  <c r="G933" i="106"/>
  <c r="N933" i="106" s="1"/>
  <c r="G929" i="106"/>
  <c r="N929" i="106" s="1"/>
  <c r="G925" i="106"/>
  <c r="N925" i="106" s="1"/>
  <c r="G921" i="106"/>
  <c r="N921" i="106" s="1"/>
  <c r="G934" i="106"/>
  <c r="N934" i="106" s="1"/>
  <c r="G930" i="106"/>
  <c r="N930" i="106" s="1"/>
  <c r="G926" i="106"/>
  <c r="N926" i="106" s="1"/>
  <c r="G922" i="106"/>
  <c r="N922" i="106" s="1"/>
  <c r="N927" i="106"/>
  <c r="N935" i="106" s="1"/>
  <c r="G931" i="106"/>
  <c r="N931" i="106" s="1"/>
  <c r="G924" i="106"/>
  <c r="N924" i="106" s="1"/>
  <c r="G920" i="106"/>
  <c r="N920" i="106" s="1"/>
  <c r="G935" i="106"/>
  <c r="G923" i="106"/>
  <c r="N923" i="106" s="1"/>
  <c r="G932" i="106"/>
  <c r="N932" i="106" s="1"/>
  <c r="G928" i="106"/>
  <c r="N928" i="106" s="1"/>
  <c r="K819" i="106"/>
  <c r="K827" i="106" s="1"/>
  <c r="G821" i="106"/>
  <c r="N821" i="106" s="1"/>
  <c r="I822" i="106"/>
  <c r="C823" i="106"/>
  <c r="G825" i="106"/>
  <c r="N825" i="106" s="1"/>
  <c r="E836" i="106"/>
  <c r="O837" i="106"/>
  <c r="O845" i="106" s="1"/>
  <c r="C839" i="106"/>
  <c r="E840" i="106"/>
  <c r="G841" i="106"/>
  <c r="N841" i="106" s="1"/>
  <c r="C843" i="106"/>
  <c r="G849" i="106"/>
  <c r="N849" i="106" s="1"/>
  <c r="I850" i="106"/>
  <c r="G853" i="106"/>
  <c r="N853" i="106" s="1"/>
  <c r="I854" i="106"/>
  <c r="C863" i="106"/>
  <c r="C859" i="106"/>
  <c r="C865" i="106"/>
  <c r="K865" i="106" s="1"/>
  <c r="C861" i="106"/>
  <c r="K861" i="106" s="1"/>
  <c r="K855" i="106"/>
  <c r="K863" i="106" s="1"/>
  <c r="G857" i="106"/>
  <c r="N857" i="106" s="1"/>
  <c r="C858" i="106"/>
  <c r="C860" i="106"/>
  <c r="G862" i="106"/>
  <c r="N862" i="106" s="1"/>
  <c r="I863" i="106"/>
  <c r="E900" i="106"/>
  <c r="E901" i="106"/>
  <c r="E899" i="106"/>
  <c r="E896" i="106"/>
  <c r="E892" i="106"/>
  <c r="E888" i="106"/>
  <c r="M888" i="106" s="1"/>
  <c r="E884" i="106"/>
  <c r="E897" i="106"/>
  <c r="E893" i="106"/>
  <c r="E889" i="106"/>
  <c r="E885" i="106"/>
  <c r="E898" i="106"/>
  <c r="E894" i="106"/>
  <c r="E890" i="106"/>
  <c r="E886" i="106"/>
  <c r="O913" i="106"/>
  <c r="L819" i="106"/>
  <c r="L827" i="106" s="1"/>
  <c r="B822" i="106"/>
  <c r="D823" i="106"/>
  <c r="L823" i="106" s="1"/>
  <c r="D831" i="106"/>
  <c r="L831" i="106" s="1"/>
  <c r="D835" i="106"/>
  <c r="L835" i="106" s="1"/>
  <c r="F836" i="106"/>
  <c r="D839" i="106"/>
  <c r="L839" i="106" s="1"/>
  <c r="F840" i="106"/>
  <c r="H841" i="106"/>
  <c r="O841" i="106" s="1"/>
  <c r="D843" i="106"/>
  <c r="L843" i="106" s="1"/>
  <c r="H849" i="106"/>
  <c r="O849" i="106" s="1"/>
  <c r="B850" i="106"/>
  <c r="H853" i="106"/>
  <c r="O853" i="106" s="1"/>
  <c r="B854" i="106"/>
  <c r="D863" i="106"/>
  <c r="D859" i="106"/>
  <c r="L859" i="106" s="1"/>
  <c r="D864" i="106"/>
  <c r="L864" i="106" s="1"/>
  <c r="D860" i="106"/>
  <c r="L860" i="106" s="1"/>
  <c r="L855" i="106"/>
  <c r="L863" i="106" s="1"/>
  <c r="H857" i="106"/>
  <c r="O857" i="106" s="1"/>
  <c r="D858" i="106"/>
  <c r="L858" i="106" s="1"/>
  <c r="G860" i="106"/>
  <c r="N860" i="106" s="1"/>
  <c r="I861" i="106"/>
  <c r="E879" i="106"/>
  <c r="M879" i="106" s="1"/>
  <c r="F901" i="106"/>
  <c r="F899" i="106"/>
  <c r="F896" i="106"/>
  <c r="F892" i="106"/>
  <c r="F888" i="106"/>
  <c r="F884" i="106"/>
  <c r="F900" i="106"/>
  <c r="F897" i="106"/>
  <c r="F893" i="106"/>
  <c r="F889" i="106"/>
  <c r="F885" i="106"/>
  <c r="F898" i="106"/>
  <c r="F894" i="106"/>
  <c r="F890" i="106"/>
  <c r="F886" i="106"/>
  <c r="J893" i="106"/>
  <c r="G875" i="106"/>
  <c r="N875" i="106" s="1"/>
  <c r="C877" i="106"/>
  <c r="G879" i="106"/>
  <c r="N879" i="106" s="1"/>
  <c r="C881" i="106"/>
  <c r="G883" i="106"/>
  <c r="N883" i="106" s="1"/>
  <c r="I884" i="106"/>
  <c r="O884" i="106" s="1"/>
  <c r="I888" i="106"/>
  <c r="O888" i="106" s="1"/>
  <c r="O891" i="106"/>
  <c r="O899" i="106" s="1"/>
  <c r="I892" i="106"/>
  <c r="O892" i="106" s="1"/>
  <c r="G895" i="106"/>
  <c r="N895" i="106" s="1"/>
  <c r="I896" i="106"/>
  <c r="O896" i="106" s="1"/>
  <c r="I905" i="106"/>
  <c r="O905" i="106" s="1"/>
  <c r="I908" i="106"/>
  <c r="I917" i="106"/>
  <c r="O925" i="106"/>
  <c r="O934" i="106"/>
  <c r="L873" i="106"/>
  <c r="L881" i="106" s="1"/>
  <c r="D877" i="106"/>
  <c r="L877" i="106" s="1"/>
  <c r="D881" i="106"/>
  <c r="H895" i="106"/>
  <c r="O895" i="106" s="1"/>
  <c r="O909" i="106"/>
  <c r="O917" i="106" s="1"/>
  <c r="H918" i="106"/>
  <c r="H914" i="106"/>
  <c r="H910" i="106"/>
  <c r="H906" i="106"/>
  <c r="H902" i="106"/>
  <c r="O902" i="106" s="1"/>
  <c r="H919" i="106"/>
  <c r="H915" i="106"/>
  <c r="H911" i="106"/>
  <c r="H907" i="106"/>
  <c r="H916" i="106"/>
  <c r="H912" i="106"/>
  <c r="O912" i="106" s="1"/>
  <c r="H908" i="106"/>
  <c r="H904" i="106"/>
  <c r="O921" i="106"/>
  <c r="M959" i="106"/>
  <c r="I895" i="106"/>
  <c r="K900" i="106"/>
  <c r="I918" i="106"/>
  <c r="I914" i="106"/>
  <c r="I910" i="106"/>
  <c r="I906" i="106"/>
  <c r="I902" i="106"/>
  <c r="I919" i="106"/>
  <c r="I915" i="106"/>
  <c r="I911" i="106"/>
  <c r="I907" i="106"/>
  <c r="I903" i="106"/>
  <c r="K996" i="106"/>
  <c r="J996" i="106"/>
  <c r="D868" i="106"/>
  <c r="L868" i="106" s="1"/>
  <c r="D872" i="106"/>
  <c r="L872" i="106" s="1"/>
  <c r="H874" i="106"/>
  <c r="O874" i="106" s="1"/>
  <c r="D876" i="106"/>
  <c r="L876" i="106" s="1"/>
  <c r="F877" i="106"/>
  <c r="H878" i="106"/>
  <c r="O878" i="106" s="1"/>
  <c r="D880" i="106"/>
  <c r="L880" i="106" s="1"/>
  <c r="F881" i="106"/>
  <c r="H882" i="106"/>
  <c r="H886" i="106"/>
  <c r="O886" i="106" s="1"/>
  <c r="J887" i="106"/>
  <c r="H890" i="106"/>
  <c r="J891" i="106"/>
  <c r="J899" i="106" s="1"/>
  <c r="H894" i="106"/>
  <c r="B895" i="106"/>
  <c r="H898" i="106"/>
  <c r="H901" i="106"/>
  <c r="J919" i="106"/>
  <c r="I916" i="106"/>
  <c r="F952" i="106"/>
  <c r="M952" i="106" s="1"/>
  <c r="F948" i="106"/>
  <c r="M948" i="106" s="1"/>
  <c r="F953" i="106"/>
  <c r="F949" i="106"/>
  <c r="F954" i="106"/>
  <c r="M954" i="106" s="1"/>
  <c r="F950" i="106"/>
  <c r="M950" i="106" s="1"/>
  <c r="F951" i="106"/>
  <c r="F944" i="106"/>
  <c r="M944" i="106" s="1"/>
  <c r="F941" i="106"/>
  <c r="F955" i="106"/>
  <c r="F947" i="106"/>
  <c r="F946" i="106"/>
  <c r="M946" i="106" s="1"/>
  <c r="F942" i="106"/>
  <c r="M942" i="106" s="1"/>
  <c r="F938" i="106"/>
  <c r="M938" i="106" s="1"/>
  <c r="F943" i="106"/>
  <c r="M943" i="106" s="1"/>
  <c r="F939" i="106"/>
  <c r="M939" i="106" s="1"/>
  <c r="M957" i="106"/>
  <c r="M958" i="106"/>
  <c r="O873" i="106"/>
  <c r="O881" i="106" s="1"/>
  <c r="C875" i="106"/>
  <c r="G877" i="106"/>
  <c r="N877" i="106" s="1"/>
  <c r="C879" i="106"/>
  <c r="I886" i="106"/>
  <c r="G889" i="106"/>
  <c r="N889" i="106" s="1"/>
  <c r="I890" i="106"/>
  <c r="C899" i="106"/>
  <c r="C900" i="106"/>
  <c r="K891" i="106"/>
  <c r="K899" i="106" s="1"/>
  <c r="G893" i="106"/>
  <c r="N893" i="106" s="1"/>
  <c r="I894" i="106"/>
  <c r="C895" i="106"/>
  <c r="G897" i="106"/>
  <c r="N897" i="106" s="1"/>
  <c r="I898" i="106"/>
  <c r="G900" i="106"/>
  <c r="N900" i="106" s="1"/>
  <c r="I901" i="106"/>
  <c r="K907" i="106"/>
  <c r="C919" i="106"/>
  <c r="K919" i="106" s="1"/>
  <c r="C915" i="106"/>
  <c r="C911" i="106"/>
  <c r="C907" i="106"/>
  <c r="C903" i="106"/>
  <c r="K903" i="106" s="1"/>
  <c r="C916" i="106"/>
  <c r="K916" i="106" s="1"/>
  <c r="C912" i="106"/>
  <c r="K912" i="106" s="1"/>
  <c r="C908" i="106"/>
  <c r="K908" i="106" s="1"/>
  <c r="C904" i="106"/>
  <c r="K904" i="106" s="1"/>
  <c r="I912" i="106"/>
  <c r="C914" i="106"/>
  <c r="K914" i="106" s="1"/>
  <c r="D936" i="106"/>
  <c r="L936" i="106" s="1"/>
  <c r="D932" i="106"/>
  <c r="L932" i="106" s="1"/>
  <c r="D928" i="106"/>
  <c r="L928" i="106" s="1"/>
  <c r="D924" i="106"/>
  <c r="L924" i="106" s="1"/>
  <c r="D920" i="106"/>
  <c r="L920" i="106" s="1"/>
  <c r="D937" i="106"/>
  <c r="L937" i="106" s="1"/>
  <c r="D933" i="106"/>
  <c r="L933" i="106" s="1"/>
  <c r="D929" i="106"/>
  <c r="L929" i="106" s="1"/>
  <c r="D925" i="106"/>
  <c r="L925" i="106" s="1"/>
  <c r="D921" i="106"/>
  <c r="L921" i="106" s="1"/>
  <c r="D934" i="106"/>
  <c r="L934" i="106" s="1"/>
  <c r="D930" i="106"/>
  <c r="L930" i="106" s="1"/>
  <c r="D926" i="106"/>
  <c r="L926" i="106" s="1"/>
  <c r="D922" i="106"/>
  <c r="L922" i="106" s="1"/>
  <c r="J934" i="106"/>
  <c r="O937" i="106"/>
  <c r="J969" i="106"/>
  <c r="K985" i="106"/>
  <c r="D867" i="106"/>
  <c r="L867" i="106" s="1"/>
  <c r="D871" i="106"/>
  <c r="L871" i="106" s="1"/>
  <c r="F872" i="106"/>
  <c r="D875" i="106"/>
  <c r="L875" i="106" s="1"/>
  <c r="F876" i="106"/>
  <c r="H877" i="106"/>
  <c r="O877" i="106" s="1"/>
  <c r="D879" i="106"/>
  <c r="L879" i="106" s="1"/>
  <c r="H885" i="106"/>
  <c r="O885" i="106" s="1"/>
  <c r="H889" i="106"/>
  <c r="O889" i="106" s="1"/>
  <c r="B890" i="106"/>
  <c r="L891" i="106"/>
  <c r="L899" i="106" s="1"/>
  <c r="H893" i="106"/>
  <c r="O893" i="106" s="1"/>
  <c r="B894" i="106"/>
  <c r="D895" i="106"/>
  <c r="L895" i="106" s="1"/>
  <c r="H897" i="106"/>
  <c r="O897" i="106" s="1"/>
  <c r="B898" i="106"/>
  <c r="G899" i="106"/>
  <c r="I900" i="106"/>
  <c r="O900" i="106" s="1"/>
  <c r="K901" i="106"/>
  <c r="H903" i="106"/>
  <c r="O903" i="106" s="1"/>
  <c r="I904" i="106"/>
  <c r="M908" i="106"/>
  <c r="C910" i="106"/>
  <c r="K910" i="106" s="1"/>
  <c r="E936" i="106"/>
  <c r="M936" i="106" s="1"/>
  <c r="E932" i="106"/>
  <c r="M932" i="106" s="1"/>
  <c r="E928" i="106"/>
  <c r="M928" i="106" s="1"/>
  <c r="E924" i="106"/>
  <c r="M924" i="106" s="1"/>
  <c r="E920" i="106"/>
  <c r="M920" i="106" s="1"/>
  <c r="E937" i="106"/>
  <c r="M937" i="106" s="1"/>
  <c r="E933" i="106"/>
  <c r="M933" i="106" s="1"/>
  <c r="E929" i="106"/>
  <c r="E925" i="106"/>
  <c r="E921" i="106"/>
  <c r="M921" i="106" s="1"/>
  <c r="O933" i="106"/>
  <c r="M940" i="106"/>
  <c r="J944" i="106"/>
  <c r="H953" i="106"/>
  <c r="H949" i="106"/>
  <c r="H954" i="106"/>
  <c r="O954" i="106" s="1"/>
  <c r="H950" i="106"/>
  <c r="O950" i="106" s="1"/>
  <c r="H955" i="106"/>
  <c r="O955" i="106" s="1"/>
  <c r="H951" i="106"/>
  <c r="H947" i="106"/>
  <c r="H944" i="106"/>
  <c r="O944" i="106" s="1"/>
  <c r="H946" i="106"/>
  <c r="O946" i="106" s="1"/>
  <c r="H942" i="106"/>
  <c r="O942" i="106" s="1"/>
  <c r="H938" i="106"/>
  <c r="O938" i="106" s="1"/>
  <c r="H948" i="106"/>
  <c r="O948" i="106" s="1"/>
  <c r="H943" i="106"/>
  <c r="O943" i="106" s="1"/>
  <c r="H939" i="106"/>
  <c r="O939" i="106" s="1"/>
  <c r="H940" i="106"/>
  <c r="O940" i="106" s="1"/>
  <c r="M956" i="106"/>
  <c r="J977" i="106"/>
  <c r="D902" i="106"/>
  <c r="L902" i="106" s="1"/>
  <c r="D906" i="106"/>
  <c r="L906" i="106" s="1"/>
  <c r="J909" i="106"/>
  <c r="J917" i="106" s="1"/>
  <c r="D910" i="106"/>
  <c r="L910" i="106" s="1"/>
  <c r="F911" i="106"/>
  <c r="M911" i="106" s="1"/>
  <c r="B913" i="106"/>
  <c r="D914" i="106"/>
  <c r="L914" i="106" s="1"/>
  <c r="F915" i="106"/>
  <c r="M915" i="106" s="1"/>
  <c r="B917" i="106"/>
  <c r="D918" i="106"/>
  <c r="L918" i="106" s="1"/>
  <c r="F919" i="106"/>
  <c r="M919" i="106" s="1"/>
  <c r="H920" i="106"/>
  <c r="O920" i="106" s="1"/>
  <c r="H924" i="106"/>
  <c r="O924" i="106" s="1"/>
  <c r="H928" i="106"/>
  <c r="O928" i="106" s="1"/>
  <c r="F931" i="106"/>
  <c r="M931" i="106" s="1"/>
  <c r="H932" i="106"/>
  <c r="O932" i="106" s="1"/>
  <c r="B933" i="106"/>
  <c r="F935" i="106"/>
  <c r="H936" i="106"/>
  <c r="O936" i="106" s="1"/>
  <c r="B937" i="106"/>
  <c r="G953" i="106"/>
  <c r="G949" i="106"/>
  <c r="N949" i="106" s="1"/>
  <c r="G954" i="106"/>
  <c r="N954" i="106" s="1"/>
  <c r="G950" i="106"/>
  <c r="N950" i="106" s="1"/>
  <c r="G946" i="106"/>
  <c r="N946" i="106" s="1"/>
  <c r="G952" i="106"/>
  <c r="N952" i="106" s="1"/>
  <c r="G948" i="106"/>
  <c r="N948" i="106" s="1"/>
  <c r="G944" i="106"/>
  <c r="N944" i="106" s="1"/>
  <c r="M960" i="106"/>
  <c r="M984" i="106"/>
  <c r="E1044" i="106"/>
  <c r="E1040" i="106"/>
  <c r="E1036" i="106"/>
  <c r="E1032" i="106"/>
  <c r="M1032" i="106" s="1"/>
  <c r="E1028" i="106"/>
  <c r="M1028" i="106" s="1"/>
  <c r="E1045" i="106"/>
  <c r="M1045" i="106" s="1"/>
  <c r="E1041" i="106"/>
  <c r="E1037" i="106"/>
  <c r="E1033" i="106"/>
  <c r="M1033" i="106" s="1"/>
  <c r="E1029" i="106"/>
  <c r="M1029" i="106" s="1"/>
  <c r="E1042" i="106"/>
  <c r="E1038" i="106"/>
  <c r="E1034" i="106"/>
  <c r="M1034" i="106" s="1"/>
  <c r="E1030" i="106"/>
  <c r="M1030" i="106" s="1"/>
  <c r="M1035" i="106"/>
  <c r="M1043" i="106" s="1"/>
  <c r="E1039" i="106"/>
  <c r="M1039" i="106" s="1"/>
  <c r="E1043" i="106"/>
  <c r="J908" i="106"/>
  <c r="L909" i="106"/>
  <c r="L917" i="106" s="1"/>
  <c r="J912" i="106"/>
  <c r="D913" i="106"/>
  <c r="L913" i="106" s="1"/>
  <c r="J916" i="106"/>
  <c r="D917" i="106"/>
  <c r="J920" i="106"/>
  <c r="J924" i="106"/>
  <c r="J928" i="106"/>
  <c r="H931" i="106"/>
  <c r="J932" i="106"/>
  <c r="H935" i="106"/>
  <c r="J936" i="106"/>
  <c r="J940" i="106"/>
  <c r="J970" i="106"/>
  <c r="K992" i="106"/>
  <c r="J992" i="106"/>
  <c r="J1000" i="106"/>
  <c r="M909" i="106"/>
  <c r="M917" i="106" s="1"/>
  <c r="G910" i="106"/>
  <c r="N910" i="106" s="1"/>
  <c r="E913" i="106"/>
  <c r="G914" i="106"/>
  <c r="N914" i="106" s="1"/>
  <c r="E917" i="106"/>
  <c r="G918" i="106"/>
  <c r="N918" i="106" s="1"/>
  <c r="I931" i="106"/>
  <c r="C932" i="106"/>
  <c r="K932" i="106" s="1"/>
  <c r="I935" i="106"/>
  <c r="C936" i="106"/>
  <c r="K936" i="106" s="1"/>
  <c r="G942" i="106"/>
  <c r="N942" i="106" s="1"/>
  <c r="B954" i="106"/>
  <c r="B950" i="106"/>
  <c r="B955" i="106"/>
  <c r="B951" i="106"/>
  <c r="B952" i="106"/>
  <c r="B948" i="106"/>
  <c r="J945" i="106"/>
  <c r="J953" i="106" s="1"/>
  <c r="B953" i="106"/>
  <c r="J903" i="106"/>
  <c r="D904" i="106"/>
  <c r="L904" i="106" s="1"/>
  <c r="J907" i="106"/>
  <c r="D908" i="106"/>
  <c r="L908" i="106" s="1"/>
  <c r="N909" i="106"/>
  <c r="N917" i="106" s="1"/>
  <c r="B911" i="106"/>
  <c r="D912" i="106"/>
  <c r="L912" i="106" s="1"/>
  <c r="F913" i="106"/>
  <c r="B915" i="106"/>
  <c r="H922" i="106"/>
  <c r="O922" i="106" s="1"/>
  <c r="J923" i="106"/>
  <c r="F925" i="106"/>
  <c r="H926" i="106"/>
  <c r="J927" i="106"/>
  <c r="J935" i="106" s="1"/>
  <c r="F929" i="106"/>
  <c r="H930" i="106"/>
  <c r="B931" i="106"/>
  <c r="F933" i="106"/>
  <c r="B935" i="106"/>
  <c r="J939" i="106"/>
  <c r="B943" i="106"/>
  <c r="C955" i="106"/>
  <c r="C951" i="106"/>
  <c r="C952" i="106"/>
  <c r="C948" i="106"/>
  <c r="C944" i="106"/>
  <c r="K944" i="106" s="1"/>
  <c r="C954" i="106"/>
  <c r="C950" i="106"/>
  <c r="C946" i="106"/>
  <c r="K946" i="106" s="1"/>
  <c r="K945" i="106"/>
  <c r="K953" i="106" s="1"/>
  <c r="G947" i="106"/>
  <c r="N947" i="106" s="1"/>
  <c r="B949" i="106"/>
  <c r="C953" i="106"/>
  <c r="G955" i="106"/>
  <c r="N955" i="106" s="1"/>
  <c r="M968" i="106"/>
  <c r="M972" i="106"/>
  <c r="B991" i="106"/>
  <c r="B989" i="106"/>
  <c r="B990" i="106"/>
  <c r="B986" i="106"/>
  <c r="B982" i="106"/>
  <c r="B978" i="106"/>
  <c r="B974" i="106"/>
  <c r="B987" i="106"/>
  <c r="B983" i="106"/>
  <c r="B979" i="106"/>
  <c r="B975" i="106"/>
  <c r="B988" i="106"/>
  <c r="B984" i="106"/>
  <c r="B980" i="106"/>
  <c r="B976" i="106"/>
  <c r="J981" i="106"/>
  <c r="J989" i="106" s="1"/>
  <c r="E912" i="106"/>
  <c r="M912" i="106" s="1"/>
  <c r="G913" i="106"/>
  <c r="N913" i="106" s="1"/>
  <c r="I926" i="106"/>
  <c r="I930" i="106"/>
  <c r="C931" i="106"/>
  <c r="G941" i="106"/>
  <c r="N941" i="106" s="1"/>
  <c r="D955" i="106"/>
  <c r="L955" i="106" s="1"/>
  <c r="D951" i="106"/>
  <c r="L951" i="106" s="1"/>
  <c r="D947" i="106"/>
  <c r="L947" i="106" s="1"/>
  <c r="D952" i="106"/>
  <c r="L952" i="106" s="1"/>
  <c r="D948" i="106"/>
  <c r="L948" i="106" s="1"/>
  <c r="D953" i="106"/>
  <c r="D949" i="106"/>
  <c r="L949" i="106" s="1"/>
  <c r="L945" i="106"/>
  <c r="L953" i="106" s="1"/>
  <c r="C949" i="106"/>
  <c r="M973" i="106"/>
  <c r="O964" i="106"/>
  <c r="O968" i="106"/>
  <c r="O972" i="106"/>
  <c r="O976" i="106"/>
  <c r="C991" i="106"/>
  <c r="C988" i="106"/>
  <c r="C989" i="106"/>
  <c r="C987" i="106"/>
  <c r="C983" i="106"/>
  <c r="C979" i="106"/>
  <c r="C975" i="106"/>
  <c r="C984" i="106"/>
  <c r="C980" i="106"/>
  <c r="C976" i="106"/>
  <c r="C986" i="106"/>
  <c r="C982" i="106"/>
  <c r="C978" i="106"/>
  <c r="C974" i="106"/>
  <c r="K981" i="106"/>
  <c r="K989" i="106" s="1"/>
  <c r="E947" i="106"/>
  <c r="I949" i="106"/>
  <c r="E951" i="106"/>
  <c r="I953" i="106"/>
  <c r="E955" i="106"/>
  <c r="M955" i="106" s="1"/>
  <c r="C958" i="106"/>
  <c r="K958" i="106" s="1"/>
  <c r="C962" i="106"/>
  <c r="K962" i="106" s="1"/>
  <c r="M963" i="106"/>
  <c r="M971" i="106" s="1"/>
  <c r="I965" i="106"/>
  <c r="C966" i="106"/>
  <c r="E967" i="106"/>
  <c r="I969" i="106"/>
  <c r="C970" i="106"/>
  <c r="K970" i="106" s="1"/>
  <c r="E971" i="106"/>
  <c r="I973" i="106"/>
  <c r="O973" i="106" s="1"/>
  <c r="G976" i="106"/>
  <c r="N976" i="106" s="1"/>
  <c r="G980" i="106"/>
  <c r="N980" i="106" s="1"/>
  <c r="I990" i="106"/>
  <c r="I991" i="106"/>
  <c r="I987" i="106"/>
  <c r="O987" i="106" s="1"/>
  <c r="I988" i="106"/>
  <c r="G984" i="106"/>
  <c r="N984" i="106" s="1"/>
  <c r="I985" i="106"/>
  <c r="I989" i="106"/>
  <c r="J956" i="106"/>
  <c r="J960" i="106"/>
  <c r="B964" i="106"/>
  <c r="D965" i="106"/>
  <c r="L965" i="106" s="1"/>
  <c r="H967" i="106"/>
  <c r="B968" i="106"/>
  <c r="D969" i="106"/>
  <c r="L969" i="106" s="1"/>
  <c r="H971" i="106"/>
  <c r="B972" i="106"/>
  <c r="D973" i="106"/>
  <c r="L973" i="106" s="1"/>
  <c r="D988" i="106"/>
  <c r="L988" i="106" s="1"/>
  <c r="D990" i="106"/>
  <c r="L990" i="106" s="1"/>
  <c r="D991" i="106"/>
  <c r="L991" i="106" s="1"/>
  <c r="L981" i="106"/>
  <c r="L989" i="106" s="1"/>
  <c r="F982" i="106"/>
  <c r="M982" i="106" s="1"/>
  <c r="H983" i="106"/>
  <c r="D985" i="106"/>
  <c r="L985" i="106" s="1"/>
  <c r="F986" i="106"/>
  <c r="E1008" i="106"/>
  <c r="E1004" i="106"/>
  <c r="E1000" i="106"/>
  <c r="E996" i="106"/>
  <c r="M996" i="106" s="1"/>
  <c r="E992" i="106"/>
  <c r="M992" i="106" s="1"/>
  <c r="E1009" i="106"/>
  <c r="M1009" i="106" s="1"/>
  <c r="E1005" i="106"/>
  <c r="E1001" i="106"/>
  <c r="E997" i="106"/>
  <c r="M997" i="106" s="1"/>
  <c r="E993" i="106"/>
  <c r="M993" i="106" s="1"/>
  <c r="E1006" i="106"/>
  <c r="M1006" i="106" s="1"/>
  <c r="E1002" i="106"/>
  <c r="M1002" i="106" s="1"/>
  <c r="E998" i="106"/>
  <c r="M998" i="106" s="1"/>
  <c r="E994" i="106"/>
  <c r="M994" i="106" s="1"/>
  <c r="H1007" i="106"/>
  <c r="M945" i="106"/>
  <c r="M953" i="106" s="1"/>
  <c r="I947" i="106"/>
  <c r="E949" i="106"/>
  <c r="M949" i="106" s="1"/>
  <c r="I951" i="106"/>
  <c r="E953" i="106"/>
  <c r="I955" i="106"/>
  <c r="C956" i="106"/>
  <c r="K956" i="106" s="1"/>
  <c r="C960" i="106"/>
  <c r="K960" i="106" s="1"/>
  <c r="C964" i="106"/>
  <c r="E965" i="106"/>
  <c r="I967" i="106"/>
  <c r="C968" i="106"/>
  <c r="E969" i="106"/>
  <c r="M969" i="106" s="1"/>
  <c r="C972" i="106"/>
  <c r="G974" i="106"/>
  <c r="N974" i="106" s="1"/>
  <c r="G978" i="106"/>
  <c r="N978" i="106" s="1"/>
  <c r="I979" i="106"/>
  <c r="O979" i="106" s="1"/>
  <c r="E988" i="106"/>
  <c r="E989" i="106"/>
  <c r="E990" i="106"/>
  <c r="M990" i="106" s="1"/>
  <c r="M981" i="106"/>
  <c r="M989" i="106" s="1"/>
  <c r="G982" i="106"/>
  <c r="N982" i="106" s="1"/>
  <c r="I983" i="106"/>
  <c r="E985" i="106"/>
  <c r="G986" i="106"/>
  <c r="N986" i="106" s="1"/>
  <c r="G988" i="106"/>
  <c r="N988" i="106" s="1"/>
  <c r="E1003" i="106"/>
  <c r="I1026" i="106"/>
  <c r="I1022" i="106"/>
  <c r="I1018" i="106"/>
  <c r="I1014" i="106"/>
  <c r="O1014" i="106" s="1"/>
  <c r="I1010" i="106"/>
  <c r="O1010" i="106" s="1"/>
  <c r="I1027" i="106"/>
  <c r="I1023" i="106"/>
  <c r="I1019" i="106"/>
  <c r="I1015" i="106"/>
  <c r="O1015" i="106" s="1"/>
  <c r="I1011" i="106"/>
  <c r="O1011" i="106" s="1"/>
  <c r="I1024" i="106"/>
  <c r="I1020" i="106"/>
  <c r="I1016" i="106"/>
  <c r="O1016" i="106" s="1"/>
  <c r="I1012" i="106"/>
  <c r="O1012" i="106" s="1"/>
  <c r="O1029" i="106"/>
  <c r="O1033" i="106"/>
  <c r="O1042" i="106"/>
  <c r="J959" i="106"/>
  <c r="J963" i="106"/>
  <c r="J971" i="106" s="1"/>
  <c r="D964" i="106"/>
  <c r="L964" i="106" s="1"/>
  <c r="H966" i="106"/>
  <c r="O966" i="106" s="1"/>
  <c r="B967" i="106"/>
  <c r="D968" i="106"/>
  <c r="L968" i="106" s="1"/>
  <c r="H970" i="106"/>
  <c r="O970" i="106" s="1"/>
  <c r="B971" i="106"/>
  <c r="D972" i="106"/>
  <c r="L972" i="106" s="1"/>
  <c r="F989" i="106"/>
  <c r="F991" i="106"/>
  <c r="M991" i="106" s="1"/>
  <c r="F987" i="106"/>
  <c r="M987" i="106" s="1"/>
  <c r="F988" i="106"/>
  <c r="H982" i="106"/>
  <c r="O982" i="106" s="1"/>
  <c r="D984" i="106"/>
  <c r="L984" i="106" s="1"/>
  <c r="F985" i="106"/>
  <c r="H986" i="106"/>
  <c r="O986" i="106" s="1"/>
  <c r="K1012" i="106"/>
  <c r="J1012" i="106"/>
  <c r="J1027" i="106"/>
  <c r="K963" i="106"/>
  <c r="K971" i="106" s="1"/>
  <c r="C967" i="106"/>
  <c r="G989" i="106"/>
  <c r="G990" i="106"/>
  <c r="N990" i="106" s="1"/>
  <c r="G991" i="106"/>
  <c r="N991" i="106" s="1"/>
  <c r="G987" i="106"/>
  <c r="N987" i="106" s="1"/>
  <c r="G985" i="106"/>
  <c r="N985" i="106" s="1"/>
  <c r="H1006" i="106"/>
  <c r="O1006" i="106" s="1"/>
  <c r="H1002" i="106"/>
  <c r="H998" i="106"/>
  <c r="O998" i="106" s="1"/>
  <c r="H994" i="106"/>
  <c r="O994" i="106" s="1"/>
  <c r="O999" i="106"/>
  <c r="O1007" i="106" s="1"/>
  <c r="H1008" i="106"/>
  <c r="H1004" i="106"/>
  <c r="O1004" i="106" s="1"/>
  <c r="H1000" i="106"/>
  <c r="H996" i="106"/>
  <c r="O996" i="106" s="1"/>
  <c r="H992" i="106"/>
  <c r="O992" i="106" s="1"/>
  <c r="H1009" i="106"/>
  <c r="O1009" i="106" s="1"/>
  <c r="H1005" i="106"/>
  <c r="O1005" i="106" s="1"/>
  <c r="H1001" i="106"/>
  <c r="O1001" i="106" s="1"/>
  <c r="H997" i="106"/>
  <c r="O997" i="106" s="1"/>
  <c r="H993" i="106"/>
  <c r="O993" i="106" s="1"/>
  <c r="L963" i="106"/>
  <c r="L971" i="106" s="1"/>
  <c r="H965" i="106"/>
  <c r="B966" i="106"/>
  <c r="D967" i="106"/>
  <c r="L967" i="106" s="1"/>
  <c r="H969" i="106"/>
  <c r="H990" i="106"/>
  <c r="O990" i="106" s="1"/>
  <c r="H988" i="106"/>
  <c r="H989" i="106"/>
  <c r="D983" i="106"/>
  <c r="L983" i="106" s="1"/>
  <c r="F984" i="106"/>
  <c r="H985" i="106"/>
  <c r="D987" i="106"/>
  <c r="L987" i="106" s="1"/>
  <c r="D989" i="106"/>
  <c r="H991" i="106"/>
  <c r="L999" i="106"/>
  <c r="L1007" i="106" s="1"/>
  <c r="F1000" i="106"/>
  <c r="B1002" i="106"/>
  <c r="D1003" i="106"/>
  <c r="L1003" i="106" s="1"/>
  <c r="F1004" i="106"/>
  <c r="B1006" i="106"/>
  <c r="D1007" i="106"/>
  <c r="F1008" i="106"/>
  <c r="B1018" i="106"/>
  <c r="D1019" i="106"/>
  <c r="L1019" i="106" s="1"/>
  <c r="F1020" i="106"/>
  <c r="H1021" i="106"/>
  <c r="O1021" i="106" s="1"/>
  <c r="B1022" i="106"/>
  <c r="D1023" i="106"/>
  <c r="L1023" i="106" s="1"/>
  <c r="F1024" i="106"/>
  <c r="M1024" i="106" s="1"/>
  <c r="H1025" i="106"/>
  <c r="B1026" i="106"/>
  <c r="D1027" i="106"/>
  <c r="L1027" i="106" s="1"/>
  <c r="L1035" i="106"/>
  <c r="L1043" i="106" s="1"/>
  <c r="F1036" i="106"/>
  <c r="H1037" i="106"/>
  <c r="O1037" i="106" s="1"/>
  <c r="B1038" i="106"/>
  <c r="D1039" i="106"/>
  <c r="L1039" i="106" s="1"/>
  <c r="F1040" i="106"/>
  <c r="H1041" i="106"/>
  <c r="O1041" i="106" s="1"/>
  <c r="B1042" i="106"/>
  <c r="D1043" i="106"/>
  <c r="F1044" i="106"/>
  <c r="H1045" i="106"/>
  <c r="O1045" i="106" s="1"/>
  <c r="J993" i="106"/>
  <c r="J997" i="106"/>
  <c r="N999" i="106"/>
  <c r="N1007" i="106" s="1"/>
  <c r="B1001" i="106"/>
  <c r="D1002" i="106"/>
  <c r="L1002" i="106" s="1"/>
  <c r="F1003" i="106"/>
  <c r="B1005" i="106"/>
  <c r="D1006" i="106"/>
  <c r="L1006" i="106" s="1"/>
  <c r="F1007" i="106"/>
  <c r="B1009" i="106"/>
  <c r="J1013" i="106"/>
  <c r="J1017" i="106"/>
  <c r="J1025" i="106" s="1"/>
  <c r="D1018" i="106"/>
  <c r="L1018" i="106" s="1"/>
  <c r="F1019" i="106"/>
  <c r="M1019" i="106" s="1"/>
  <c r="H1020" i="106"/>
  <c r="B1021" i="106"/>
  <c r="D1022" i="106"/>
  <c r="L1022" i="106" s="1"/>
  <c r="F1023" i="106"/>
  <c r="M1023" i="106" s="1"/>
  <c r="H1024" i="106"/>
  <c r="O1024" i="106" s="1"/>
  <c r="B1025" i="106"/>
  <c r="D1026" i="106"/>
  <c r="L1026" i="106" s="1"/>
  <c r="F1027" i="106"/>
  <c r="M1027" i="106" s="1"/>
  <c r="J1029" i="106"/>
  <c r="J1033" i="106"/>
  <c r="N1035" i="106"/>
  <c r="N1043" i="106" s="1"/>
  <c r="H1036" i="106"/>
  <c r="B1037" i="106"/>
  <c r="D1038" i="106"/>
  <c r="L1038" i="106" s="1"/>
  <c r="F1039" i="106"/>
  <c r="H1040" i="106"/>
  <c r="B1041" i="106"/>
  <c r="D1042" i="106"/>
  <c r="L1042" i="106" s="1"/>
  <c r="F1043" i="106"/>
  <c r="H1044" i="106"/>
  <c r="B1045" i="106"/>
  <c r="I1000" i="106"/>
  <c r="C1001" i="106"/>
  <c r="G1003" i="106"/>
  <c r="N1003" i="106" s="1"/>
  <c r="I1004" i="106"/>
  <c r="C1005" i="106"/>
  <c r="G1007" i="106"/>
  <c r="I1008" i="106"/>
  <c r="C1009" i="106"/>
  <c r="K1017" i="106"/>
  <c r="K1025" i="106" s="1"/>
  <c r="E1018" i="106"/>
  <c r="G1019" i="106"/>
  <c r="N1019" i="106" s="1"/>
  <c r="C1021" i="106"/>
  <c r="E1022" i="106"/>
  <c r="G1023" i="106"/>
  <c r="N1023" i="106" s="1"/>
  <c r="C1025" i="106"/>
  <c r="E1026" i="106"/>
  <c r="G1027" i="106"/>
  <c r="N1027" i="106" s="1"/>
  <c r="O1035" i="106"/>
  <c r="O1043" i="106" s="1"/>
  <c r="I1036" i="106"/>
  <c r="C1037" i="106"/>
  <c r="G1039" i="106"/>
  <c r="N1039" i="106" s="1"/>
  <c r="I1040" i="106"/>
  <c r="C1041" i="106"/>
  <c r="G1043" i="106"/>
  <c r="I1044" i="106"/>
  <c r="C1045" i="106"/>
  <c r="J1016" i="106"/>
  <c r="L1017" i="106"/>
  <c r="L1025" i="106" s="1"/>
  <c r="F1018" i="106"/>
  <c r="H1019" i="106"/>
  <c r="O1019" i="106" s="1"/>
  <c r="B1020" i="106"/>
  <c r="D1021" i="106"/>
  <c r="L1021" i="106" s="1"/>
  <c r="F1022" i="106"/>
  <c r="H1023" i="106"/>
  <c r="O1023" i="106" s="1"/>
  <c r="B1024" i="106"/>
  <c r="D1025" i="106"/>
  <c r="F1026" i="106"/>
  <c r="H1027" i="106"/>
  <c r="O1027" i="106" s="1"/>
  <c r="J1028" i="106"/>
  <c r="J1032" i="106"/>
  <c r="B1036" i="106"/>
  <c r="D1037" i="106"/>
  <c r="L1037" i="106" s="1"/>
  <c r="F1038" i="106"/>
  <c r="H1039" i="106"/>
  <c r="B1040" i="106"/>
  <c r="D1041" i="106"/>
  <c r="L1041" i="106" s="1"/>
  <c r="F1042" i="106"/>
  <c r="H1043" i="106"/>
  <c r="B1044" i="106"/>
  <c r="D1045" i="106"/>
  <c r="L1045" i="106" s="1"/>
  <c r="C1000" i="106"/>
  <c r="K1000" i="106" s="1"/>
  <c r="G1002" i="106"/>
  <c r="N1002" i="106" s="1"/>
  <c r="I1003" i="106"/>
  <c r="O1003" i="106" s="1"/>
  <c r="C1004" i="106"/>
  <c r="K1004" i="106" s="1"/>
  <c r="G1006" i="106"/>
  <c r="N1006" i="106" s="1"/>
  <c r="I1007" i="106"/>
  <c r="C1008" i="106"/>
  <c r="K1008" i="106" s="1"/>
  <c r="M1017" i="106"/>
  <c r="M1025" i="106" s="1"/>
  <c r="G1018" i="106"/>
  <c r="N1018" i="106" s="1"/>
  <c r="C1020" i="106"/>
  <c r="E1021" i="106"/>
  <c r="M1021" i="106" s="1"/>
  <c r="G1022" i="106"/>
  <c r="N1022" i="106" s="1"/>
  <c r="C1024" i="106"/>
  <c r="E1025" i="106"/>
  <c r="G1026" i="106"/>
  <c r="N1026" i="106" s="1"/>
  <c r="C1036" i="106"/>
  <c r="G1038" i="106"/>
  <c r="N1038" i="106" s="1"/>
  <c r="I1039" i="106"/>
  <c r="C1040" i="106"/>
  <c r="G1042" i="106"/>
  <c r="N1042" i="106" s="1"/>
  <c r="I1043" i="106"/>
  <c r="C1044" i="106"/>
  <c r="J995" i="106"/>
  <c r="J999" i="106"/>
  <c r="J1007" i="106" s="1"/>
  <c r="D1000" i="106"/>
  <c r="L1000" i="106" s="1"/>
  <c r="F1001" i="106"/>
  <c r="B1003" i="106"/>
  <c r="D1004" i="106"/>
  <c r="L1004" i="106" s="1"/>
  <c r="F1005" i="106"/>
  <c r="B1007" i="106"/>
  <c r="J1011" i="106"/>
  <c r="J1015" i="106"/>
  <c r="N1017" i="106"/>
  <c r="N1025" i="106" s="1"/>
  <c r="H1018" i="106"/>
  <c r="O1018" i="106" s="1"/>
  <c r="B1019" i="106"/>
  <c r="D1020" i="106"/>
  <c r="L1020" i="106" s="1"/>
  <c r="F1021" i="106"/>
  <c r="H1022" i="106"/>
  <c r="B1023" i="106"/>
  <c r="H1026" i="106"/>
  <c r="J1031" i="106"/>
  <c r="J1035" i="106"/>
  <c r="J1043" i="106" s="1"/>
  <c r="D1036" i="106"/>
  <c r="L1036" i="106" s="1"/>
  <c r="F1037" i="106"/>
  <c r="H1038" i="106"/>
  <c r="B1039" i="106"/>
  <c r="D1040" i="106"/>
  <c r="L1040" i="106" s="1"/>
  <c r="F1041" i="106"/>
  <c r="B1043" i="106"/>
  <c r="G1001" i="106"/>
  <c r="N1001" i="106" s="1"/>
  <c r="I1002" i="106"/>
  <c r="C1003" i="106"/>
  <c r="G1005" i="106"/>
  <c r="N1005" i="106" s="1"/>
  <c r="C1019" i="106"/>
  <c r="E1020" i="106"/>
  <c r="M1020" i="106" s="1"/>
  <c r="G1021" i="106"/>
  <c r="N1021" i="106" s="1"/>
  <c r="C1023" i="106"/>
  <c r="G1037" i="106"/>
  <c r="N1037" i="106" s="1"/>
  <c r="I1038" i="106"/>
  <c r="C1039" i="106"/>
  <c r="G1041" i="106"/>
  <c r="N1041" i="106" s="1"/>
  <c r="B14" i="104"/>
  <c r="J14" i="104"/>
  <c r="L125" i="104"/>
  <c r="L10" i="104"/>
  <c r="L14" i="104" s="1"/>
  <c r="F14" i="104"/>
  <c r="L13" i="104"/>
  <c r="K14" i="104"/>
  <c r="L98" i="104"/>
  <c r="D79" i="104"/>
  <c r="D117" i="104" s="1"/>
  <c r="D126" i="104" s="1"/>
  <c r="L85" i="104"/>
  <c r="L30" i="104"/>
  <c r="L116" i="104"/>
  <c r="E79" i="104"/>
  <c r="E117" i="104" s="1"/>
  <c r="E126" i="104" s="1"/>
  <c r="L94" i="104"/>
  <c r="H79" i="104"/>
  <c r="H117" i="104" s="1"/>
  <c r="H126" i="104" s="1"/>
  <c r="K79" i="104"/>
  <c r="K117" i="104" s="1"/>
  <c r="K126" i="104" s="1"/>
  <c r="L47" i="104"/>
  <c r="L78" i="104"/>
  <c r="E14" i="104"/>
  <c r="C14" i="104"/>
  <c r="H14" i="104"/>
  <c r="G79" i="104"/>
  <c r="G117" i="104" s="1"/>
  <c r="G126" i="104" s="1"/>
  <c r="L67" i="104"/>
  <c r="D14" i="104"/>
  <c r="F79" i="104"/>
  <c r="F117" i="104" s="1"/>
  <c r="F126" i="104" s="1"/>
  <c r="I79" i="104"/>
  <c r="I117" i="104" s="1"/>
  <c r="I126" i="104" s="1"/>
  <c r="B79" i="104"/>
  <c r="B117" i="104" s="1"/>
  <c r="B126" i="104" s="1"/>
  <c r="J79" i="104"/>
  <c r="J117" i="104" s="1"/>
  <c r="J126" i="104" s="1"/>
  <c r="C79" i="104"/>
  <c r="C117" i="104" s="1"/>
  <c r="C126" i="104" s="1"/>
  <c r="N26" i="102" l="1"/>
  <c r="D36" i="107" s="1"/>
  <c r="D8" i="108" s="1"/>
  <c r="E8" i="108" s="1"/>
  <c r="P26" i="102"/>
  <c r="D37" i="107" s="1"/>
  <c r="D9" i="108" s="1"/>
  <c r="E9" i="108" s="1"/>
  <c r="F9" i="108" s="1"/>
  <c r="G9" i="108" s="1"/>
  <c r="H9" i="108" s="1"/>
  <c r="I9" i="108" s="1"/>
  <c r="J9" i="108" s="1"/>
  <c r="K9" i="108" s="1"/>
  <c r="L9" i="108" s="1"/>
  <c r="M9" i="108" s="1"/>
  <c r="N9" i="108" s="1"/>
  <c r="O9" i="108" s="1"/>
  <c r="P9" i="108" s="1"/>
  <c r="Q9" i="108" s="1"/>
  <c r="R9" i="108" s="1"/>
  <c r="M985" i="106"/>
  <c r="M1044" i="106"/>
  <c r="O842" i="106"/>
  <c r="M850" i="106"/>
  <c r="M852" i="106"/>
  <c r="M804" i="106"/>
  <c r="M816" i="106"/>
  <c r="O787" i="106"/>
  <c r="M594" i="106"/>
  <c r="M584" i="106"/>
  <c r="M677" i="106"/>
  <c r="O484" i="106"/>
  <c r="O447" i="106"/>
  <c r="O415" i="106"/>
  <c r="M244" i="106"/>
  <c r="M212" i="106"/>
  <c r="O666" i="106"/>
  <c r="O1022" i="106"/>
  <c r="M1026" i="106"/>
  <c r="O988" i="106"/>
  <c r="O1008" i="106"/>
  <c r="O930" i="106"/>
  <c r="O919" i="106"/>
  <c r="O858" i="106"/>
  <c r="M786" i="106"/>
  <c r="M780" i="106"/>
  <c r="M749" i="106"/>
  <c r="M752" i="106"/>
  <c r="O692" i="106"/>
  <c r="O686" i="106"/>
  <c r="O631" i="106"/>
  <c r="O736" i="106"/>
  <c r="O659" i="106"/>
  <c r="M624" i="106"/>
  <c r="O432" i="106"/>
  <c r="M409" i="106"/>
  <c r="M370" i="106"/>
  <c r="M318" i="106"/>
  <c r="M421" i="106"/>
  <c r="M175" i="106"/>
  <c r="O118" i="106"/>
  <c r="O1036" i="106"/>
  <c r="O991" i="106"/>
  <c r="O904" i="106"/>
  <c r="M896" i="106"/>
  <c r="M836" i="106"/>
  <c r="M841" i="106"/>
  <c r="O679" i="106"/>
  <c r="O696" i="106"/>
  <c r="O690" i="106"/>
  <c r="O643" i="106"/>
  <c r="O735" i="106"/>
  <c r="M643" i="106"/>
  <c r="M645" i="106"/>
  <c r="M596" i="106"/>
  <c r="O481" i="106"/>
  <c r="M321" i="106"/>
  <c r="O371" i="106"/>
  <c r="O211" i="106"/>
  <c r="O850" i="106"/>
  <c r="M634" i="106"/>
  <c r="O324" i="106"/>
  <c r="M51" i="106"/>
  <c r="O91" i="106"/>
  <c r="M781" i="106"/>
  <c r="M792" i="106"/>
  <c r="M750" i="106"/>
  <c r="M604" i="106"/>
  <c r="M820" i="106"/>
  <c r="O655" i="106"/>
  <c r="M1003" i="106"/>
  <c r="O910" i="106"/>
  <c r="O985" i="106"/>
  <c r="M1004" i="106"/>
  <c r="O914" i="106"/>
  <c r="M900" i="106"/>
  <c r="M872" i="106"/>
  <c r="O782" i="106"/>
  <c r="M829" i="106"/>
  <c r="O573" i="106"/>
  <c r="O623" i="106"/>
  <c r="O660" i="106"/>
  <c r="O654" i="106"/>
  <c r="M576" i="106"/>
  <c r="M641" i="106"/>
  <c r="M642" i="106"/>
  <c r="M445" i="106"/>
  <c r="O439" i="106"/>
  <c r="O428" i="106"/>
  <c r="M317" i="106"/>
  <c r="M335" i="106"/>
  <c r="O285" i="106"/>
  <c r="M67" i="106"/>
  <c r="M753" i="106"/>
  <c r="O890" i="106"/>
  <c r="M818" i="106"/>
  <c r="M812" i="106"/>
  <c r="O664" i="106"/>
  <c r="O658" i="106"/>
  <c r="O360" i="106"/>
  <c r="O299" i="106"/>
  <c r="M177" i="106"/>
  <c r="M137" i="106"/>
  <c r="M897" i="106"/>
  <c r="K807" i="106"/>
  <c r="J807" i="106"/>
  <c r="K1023" i="106"/>
  <c r="J1023" i="106"/>
  <c r="K1044" i="106"/>
  <c r="J1044" i="106"/>
  <c r="K1036" i="106"/>
  <c r="J1036" i="106"/>
  <c r="K1001" i="106"/>
  <c r="J1001" i="106"/>
  <c r="J1026" i="106"/>
  <c r="K1026" i="106"/>
  <c r="J1018" i="106"/>
  <c r="K1018" i="106"/>
  <c r="K988" i="106"/>
  <c r="J988" i="106"/>
  <c r="J986" i="106"/>
  <c r="K986" i="106"/>
  <c r="K931" i="106"/>
  <c r="J931" i="106"/>
  <c r="K915" i="106"/>
  <c r="J915" i="106"/>
  <c r="J954" i="106"/>
  <c r="K954" i="106"/>
  <c r="M1040" i="106"/>
  <c r="J890" i="106"/>
  <c r="K890" i="106"/>
  <c r="M893" i="106"/>
  <c r="K860" i="106"/>
  <c r="J860" i="106"/>
  <c r="K867" i="106"/>
  <c r="J867" i="106"/>
  <c r="J878" i="106"/>
  <c r="K878" i="106"/>
  <c r="K840" i="106"/>
  <c r="J840" i="106"/>
  <c r="J834" i="106"/>
  <c r="K834" i="106"/>
  <c r="K751" i="106"/>
  <c r="J751" i="106"/>
  <c r="K803" i="106"/>
  <c r="J803" i="106"/>
  <c r="O753" i="106"/>
  <c r="K699" i="106"/>
  <c r="J699" i="106"/>
  <c r="K763" i="106"/>
  <c r="J763" i="106"/>
  <c r="J774" i="106"/>
  <c r="K774" i="106"/>
  <c r="M733" i="106"/>
  <c r="M778" i="106"/>
  <c r="M793" i="106"/>
  <c r="M744" i="106"/>
  <c r="O715" i="106"/>
  <c r="M714" i="106"/>
  <c r="O728" i="106"/>
  <c r="O726" i="106"/>
  <c r="O656" i="106"/>
  <c r="O650" i="106"/>
  <c r="M614" i="106"/>
  <c r="M628" i="106"/>
  <c r="J602" i="106"/>
  <c r="K602" i="106"/>
  <c r="M553" i="106"/>
  <c r="M640" i="106"/>
  <c r="J632" i="106"/>
  <c r="K632" i="106"/>
  <c r="J649" i="106"/>
  <c r="K649" i="106"/>
  <c r="J620" i="106"/>
  <c r="K620" i="106"/>
  <c r="M610" i="106"/>
  <c r="J580" i="106"/>
  <c r="K580" i="106"/>
  <c r="J594" i="106"/>
  <c r="K594" i="106"/>
  <c r="K556" i="106"/>
  <c r="J556" i="106"/>
  <c r="O499" i="106"/>
  <c r="K544" i="106"/>
  <c r="J544" i="106"/>
  <c r="J507" i="106"/>
  <c r="K507" i="106"/>
  <c r="J570" i="106"/>
  <c r="K570" i="106"/>
  <c r="J559" i="106"/>
  <c r="K559" i="106"/>
  <c r="J469" i="106"/>
  <c r="K469" i="106"/>
  <c r="O535" i="106"/>
  <c r="K448" i="106"/>
  <c r="J448" i="106"/>
  <c r="K445" i="106"/>
  <c r="J445" i="106"/>
  <c r="O433" i="106"/>
  <c r="K497" i="106"/>
  <c r="J497" i="106"/>
  <c r="K502" i="106"/>
  <c r="J502" i="106"/>
  <c r="K356" i="106"/>
  <c r="J356" i="106"/>
  <c r="K336" i="106"/>
  <c r="J336" i="106"/>
  <c r="K316" i="106"/>
  <c r="J316" i="106"/>
  <c r="M374" i="106"/>
  <c r="K325" i="106"/>
  <c r="J325" i="106"/>
  <c r="O411" i="106"/>
  <c r="J278" i="106"/>
  <c r="K278" i="106"/>
  <c r="M302" i="106"/>
  <c r="O283" i="106"/>
  <c r="K252" i="106"/>
  <c r="J252" i="106"/>
  <c r="J236" i="106"/>
  <c r="K236" i="106"/>
  <c r="M429" i="106"/>
  <c r="M222" i="106"/>
  <c r="J208" i="106"/>
  <c r="K208" i="106"/>
  <c r="J175" i="106"/>
  <c r="K175" i="106"/>
  <c r="M193" i="106"/>
  <c r="K188" i="106"/>
  <c r="J188" i="106"/>
  <c r="K172" i="106"/>
  <c r="J172" i="106"/>
  <c r="K156" i="106"/>
  <c r="J156" i="106"/>
  <c r="K140" i="106"/>
  <c r="J140" i="106"/>
  <c r="K292" i="106"/>
  <c r="J292" i="106"/>
  <c r="J298" i="106"/>
  <c r="K298" i="106"/>
  <c r="J228" i="106"/>
  <c r="K228" i="106"/>
  <c r="J222" i="106"/>
  <c r="K222" i="106"/>
  <c r="J157" i="106"/>
  <c r="K157" i="106"/>
  <c r="K103" i="106"/>
  <c r="J103" i="106"/>
  <c r="K67" i="106"/>
  <c r="J67" i="106"/>
  <c r="K100" i="106"/>
  <c r="J100" i="106"/>
  <c r="J65" i="106"/>
  <c r="K65" i="106"/>
  <c r="O11" i="106"/>
  <c r="O51" i="106"/>
  <c r="K264" i="106"/>
  <c r="J264" i="106"/>
  <c r="J258" i="106"/>
  <c r="K258" i="106"/>
  <c r="J110" i="106"/>
  <c r="K110" i="106"/>
  <c r="O33" i="106"/>
  <c r="K114" i="106"/>
  <c r="J114" i="106"/>
  <c r="J111" i="106"/>
  <c r="K111" i="106"/>
  <c r="O87" i="106"/>
  <c r="K964" i="106"/>
  <c r="J964" i="106"/>
  <c r="J949" i="106"/>
  <c r="K949" i="106"/>
  <c r="M913" i="106"/>
  <c r="J858" i="106"/>
  <c r="K858" i="106"/>
  <c r="K659" i="106"/>
  <c r="J659" i="106"/>
  <c r="K733" i="106"/>
  <c r="J733" i="106"/>
  <c r="K432" i="106"/>
  <c r="J432" i="106"/>
  <c r="J501" i="106"/>
  <c r="K501" i="106"/>
  <c r="J414" i="106"/>
  <c r="K414" i="106"/>
  <c r="K353" i="106"/>
  <c r="J353" i="106"/>
  <c r="J226" i="106"/>
  <c r="K226" i="106"/>
  <c r="J262" i="106"/>
  <c r="K262" i="106"/>
  <c r="K25" i="106"/>
  <c r="J25" i="106"/>
  <c r="O1038" i="106"/>
  <c r="K1020" i="106"/>
  <c r="J1020" i="106"/>
  <c r="O1044" i="106"/>
  <c r="K1009" i="106"/>
  <c r="J1009" i="106"/>
  <c r="M1001" i="106"/>
  <c r="M967" i="106"/>
  <c r="K979" i="106"/>
  <c r="J979" i="106"/>
  <c r="M1037" i="106"/>
  <c r="J933" i="106"/>
  <c r="K933" i="106"/>
  <c r="M925" i="106"/>
  <c r="J898" i="106"/>
  <c r="K898" i="106"/>
  <c r="O908" i="106"/>
  <c r="O906" i="106"/>
  <c r="M886" i="106"/>
  <c r="M884" i="106"/>
  <c r="M840" i="106"/>
  <c r="O862" i="106"/>
  <c r="K875" i="106"/>
  <c r="J875" i="106"/>
  <c r="M865" i="106"/>
  <c r="M861" i="106"/>
  <c r="O828" i="106"/>
  <c r="K831" i="106"/>
  <c r="J831" i="106"/>
  <c r="J842" i="106"/>
  <c r="K842" i="106"/>
  <c r="O778" i="106"/>
  <c r="M822" i="106"/>
  <c r="K796" i="106"/>
  <c r="J796" i="106"/>
  <c r="J794" i="106"/>
  <c r="K794" i="106"/>
  <c r="K715" i="106"/>
  <c r="J715" i="106"/>
  <c r="O678" i="106"/>
  <c r="K771" i="106"/>
  <c r="J771" i="106"/>
  <c r="K696" i="106"/>
  <c r="J696" i="106"/>
  <c r="K680" i="106"/>
  <c r="J680" i="106"/>
  <c r="K664" i="106"/>
  <c r="J664" i="106"/>
  <c r="O700" i="106"/>
  <c r="O694" i="106"/>
  <c r="O648" i="106"/>
  <c r="O734" i="106"/>
  <c r="K607" i="106"/>
  <c r="J607" i="106"/>
  <c r="M769" i="106"/>
  <c r="J600" i="106"/>
  <c r="K600" i="106"/>
  <c r="J610" i="106"/>
  <c r="K610" i="106"/>
  <c r="M649" i="106"/>
  <c r="J640" i="106"/>
  <c r="K640" i="106"/>
  <c r="K648" i="106"/>
  <c r="J648" i="106"/>
  <c r="K583" i="106"/>
  <c r="J583" i="106"/>
  <c r="J628" i="106"/>
  <c r="K628" i="106"/>
  <c r="M600" i="106"/>
  <c r="J588" i="106"/>
  <c r="K588" i="106"/>
  <c r="O463" i="106"/>
  <c r="M681" i="106"/>
  <c r="J515" i="106"/>
  <c r="K515" i="106"/>
  <c r="O476" i="106"/>
  <c r="J563" i="106"/>
  <c r="K563" i="106"/>
  <c r="K554" i="106"/>
  <c r="J554" i="106"/>
  <c r="J462" i="106"/>
  <c r="K462" i="106"/>
  <c r="K464" i="106"/>
  <c r="J464" i="106"/>
  <c r="K443" i="106"/>
  <c r="J443" i="106"/>
  <c r="J499" i="106"/>
  <c r="K499" i="106"/>
  <c r="J504" i="106"/>
  <c r="K504" i="106"/>
  <c r="K404" i="106"/>
  <c r="J404" i="106"/>
  <c r="K372" i="106"/>
  <c r="J372" i="106"/>
  <c r="J412" i="106"/>
  <c r="K412" i="106"/>
  <c r="O392" i="106"/>
  <c r="M339" i="106"/>
  <c r="O410" i="106"/>
  <c r="J391" i="106"/>
  <c r="K391" i="106"/>
  <c r="J274" i="106"/>
  <c r="K274" i="106"/>
  <c r="K247" i="106"/>
  <c r="J247" i="106"/>
  <c r="M301" i="106"/>
  <c r="K276" i="106"/>
  <c r="J276" i="106"/>
  <c r="K217" i="106"/>
  <c r="J217" i="106"/>
  <c r="J216" i="106"/>
  <c r="K216" i="106"/>
  <c r="J151" i="106"/>
  <c r="K151" i="106"/>
  <c r="K196" i="106"/>
  <c r="J196" i="106"/>
  <c r="K180" i="106"/>
  <c r="J180" i="106"/>
  <c r="K302" i="106"/>
  <c r="J302" i="106"/>
  <c r="J307" i="106"/>
  <c r="K307" i="106"/>
  <c r="K219" i="106"/>
  <c r="J219" i="106"/>
  <c r="J230" i="106"/>
  <c r="K230" i="106"/>
  <c r="K96" i="106"/>
  <c r="J96" i="106"/>
  <c r="O67" i="106"/>
  <c r="J73" i="106"/>
  <c r="K73" i="106"/>
  <c r="O335" i="106"/>
  <c r="K255" i="106"/>
  <c r="J255" i="106"/>
  <c r="J266" i="106"/>
  <c r="K266" i="106"/>
  <c r="J121" i="106"/>
  <c r="K121" i="106"/>
  <c r="J119" i="106"/>
  <c r="K119" i="106"/>
  <c r="K1037" i="106"/>
  <c r="J1037" i="106"/>
  <c r="J990" i="106"/>
  <c r="K990" i="106"/>
  <c r="J606" i="106"/>
  <c r="K606" i="106"/>
  <c r="J624" i="106"/>
  <c r="K624" i="106"/>
  <c r="J584" i="106"/>
  <c r="K584" i="106"/>
  <c r="J577" i="106"/>
  <c r="K577" i="106"/>
  <c r="K435" i="106"/>
  <c r="J435" i="106"/>
  <c r="J155" i="106"/>
  <c r="K155" i="106"/>
  <c r="J303" i="106"/>
  <c r="K303" i="106"/>
  <c r="J232" i="106"/>
  <c r="K232" i="106"/>
  <c r="J101" i="106"/>
  <c r="K101" i="106"/>
  <c r="K122" i="106"/>
  <c r="J122" i="106"/>
  <c r="J115" i="106"/>
  <c r="K115" i="106"/>
  <c r="K31" i="106"/>
  <c r="J31" i="106"/>
  <c r="J1038" i="106"/>
  <c r="K1038" i="106"/>
  <c r="J1006" i="106"/>
  <c r="K1006" i="106"/>
  <c r="O969" i="106"/>
  <c r="M1005" i="106"/>
  <c r="K972" i="106"/>
  <c r="J972" i="106"/>
  <c r="K983" i="106"/>
  <c r="J983" i="106"/>
  <c r="K991" i="106"/>
  <c r="J991" i="106"/>
  <c r="K911" i="106"/>
  <c r="J911" i="106"/>
  <c r="K948" i="106"/>
  <c r="J948" i="106"/>
  <c r="M1041" i="106"/>
  <c r="O949" i="106"/>
  <c r="M929" i="106"/>
  <c r="O901" i="106"/>
  <c r="O882" i="106"/>
  <c r="J854" i="106"/>
  <c r="K854" i="106"/>
  <c r="M890" i="106"/>
  <c r="K859" i="106"/>
  <c r="J859" i="106"/>
  <c r="O861" i="106"/>
  <c r="K877" i="106"/>
  <c r="J877" i="106"/>
  <c r="K879" i="106"/>
  <c r="J879" i="106"/>
  <c r="K835" i="106"/>
  <c r="J835" i="106"/>
  <c r="J846" i="106"/>
  <c r="K846" i="106"/>
  <c r="M805" i="106"/>
  <c r="K800" i="106"/>
  <c r="J800" i="106"/>
  <c r="J798" i="106"/>
  <c r="K798" i="106"/>
  <c r="O750" i="106"/>
  <c r="O714" i="106"/>
  <c r="K695" i="106"/>
  <c r="J695" i="106"/>
  <c r="J760" i="106"/>
  <c r="K760" i="106"/>
  <c r="K775" i="106"/>
  <c r="J775" i="106"/>
  <c r="M738" i="106"/>
  <c r="M790" i="106"/>
  <c r="M784" i="106"/>
  <c r="M756" i="106"/>
  <c r="K685" i="106"/>
  <c r="J685" i="106"/>
  <c r="O687" i="106"/>
  <c r="O698" i="106"/>
  <c r="O595" i="106"/>
  <c r="O651" i="106"/>
  <c r="O662" i="106"/>
  <c r="K597" i="106"/>
  <c r="J597" i="106"/>
  <c r="J604" i="106"/>
  <c r="K604" i="106"/>
  <c r="M638" i="106"/>
  <c r="K591" i="106"/>
  <c r="J591" i="106"/>
  <c r="K579" i="106"/>
  <c r="J579" i="106"/>
  <c r="K558" i="106"/>
  <c r="J558" i="106"/>
  <c r="K617" i="106"/>
  <c r="J617" i="106"/>
  <c r="J614" i="106"/>
  <c r="K614" i="106"/>
  <c r="J592" i="106"/>
  <c r="K592" i="106"/>
  <c r="J519" i="106"/>
  <c r="K519" i="106"/>
  <c r="J568" i="106"/>
  <c r="K568" i="106"/>
  <c r="J466" i="106"/>
  <c r="K466" i="106"/>
  <c r="K468" i="106"/>
  <c r="J468" i="106"/>
  <c r="O533" i="106"/>
  <c r="K444" i="106"/>
  <c r="J444" i="106"/>
  <c r="J490" i="106"/>
  <c r="K490" i="106"/>
  <c r="K488" i="106"/>
  <c r="J488" i="106"/>
  <c r="K408" i="106"/>
  <c r="J408" i="106"/>
  <c r="O403" i="106"/>
  <c r="K388" i="106"/>
  <c r="J388" i="106"/>
  <c r="K352" i="106"/>
  <c r="J352" i="106"/>
  <c r="M390" i="106"/>
  <c r="M354" i="106"/>
  <c r="K411" i="106"/>
  <c r="J411" i="106"/>
  <c r="K361" i="106"/>
  <c r="J361" i="106"/>
  <c r="K337" i="106"/>
  <c r="J337" i="106"/>
  <c r="K321" i="106"/>
  <c r="J321" i="106"/>
  <c r="M375" i="106"/>
  <c r="O414" i="106"/>
  <c r="K390" i="106"/>
  <c r="J390" i="106"/>
  <c r="K374" i="106"/>
  <c r="J374" i="106"/>
  <c r="J375" i="106"/>
  <c r="K375" i="106"/>
  <c r="J246" i="106"/>
  <c r="K246" i="106"/>
  <c r="K272" i="106"/>
  <c r="J272" i="106"/>
  <c r="K248" i="106"/>
  <c r="J248" i="106"/>
  <c r="J147" i="106"/>
  <c r="K147" i="106"/>
  <c r="K152" i="106"/>
  <c r="J152" i="106"/>
  <c r="K136" i="106"/>
  <c r="J136" i="106"/>
  <c r="K291" i="106"/>
  <c r="J291" i="106"/>
  <c r="K301" i="106"/>
  <c r="J301" i="106"/>
  <c r="K223" i="106"/>
  <c r="J223" i="106"/>
  <c r="J234" i="106"/>
  <c r="K234" i="106"/>
  <c r="J193" i="106"/>
  <c r="K193" i="106"/>
  <c r="M229" i="106"/>
  <c r="O110" i="106"/>
  <c r="M121" i="106"/>
  <c r="K87" i="106"/>
  <c r="J87" i="106"/>
  <c r="K108" i="106"/>
  <c r="J108" i="106"/>
  <c r="O339" i="106"/>
  <c r="K265" i="106"/>
  <c r="J265" i="106"/>
  <c r="K259" i="106"/>
  <c r="J259" i="106"/>
  <c r="J270" i="106"/>
  <c r="K270" i="106"/>
  <c r="O157" i="106"/>
  <c r="M31" i="106"/>
  <c r="M11" i="106"/>
  <c r="J123" i="106"/>
  <c r="K123" i="106"/>
  <c r="K19" i="106"/>
  <c r="J19" i="106"/>
  <c r="K11" i="106"/>
  <c r="J11" i="106"/>
  <c r="K975" i="106"/>
  <c r="J975" i="106"/>
  <c r="K844" i="106"/>
  <c r="J844" i="106"/>
  <c r="K721" i="106"/>
  <c r="J721" i="106"/>
  <c r="K68" i="106"/>
  <c r="J68" i="106"/>
  <c r="K1019" i="106"/>
  <c r="J1019" i="106"/>
  <c r="K1003" i="106"/>
  <c r="J1003" i="106"/>
  <c r="K1040" i="106"/>
  <c r="J1040" i="106"/>
  <c r="M1022" i="106"/>
  <c r="K1021" i="106"/>
  <c r="J1021" i="106"/>
  <c r="J1022" i="106"/>
  <c r="K1022" i="106"/>
  <c r="O983" i="106"/>
  <c r="M951" i="106"/>
  <c r="K987" i="106"/>
  <c r="J987" i="106"/>
  <c r="K943" i="106"/>
  <c r="J943" i="106"/>
  <c r="O926" i="106"/>
  <c r="K952" i="106"/>
  <c r="J952" i="106"/>
  <c r="O898" i="106"/>
  <c r="O916" i="106"/>
  <c r="M894" i="106"/>
  <c r="M892" i="106"/>
  <c r="K823" i="106"/>
  <c r="J823" i="106"/>
  <c r="M876" i="106"/>
  <c r="K883" i="106"/>
  <c r="J883" i="106"/>
  <c r="M849" i="106"/>
  <c r="M862" i="106"/>
  <c r="K839" i="106"/>
  <c r="J839" i="106"/>
  <c r="K787" i="106"/>
  <c r="J787" i="106"/>
  <c r="M813" i="106"/>
  <c r="M824" i="106"/>
  <c r="K804" i="106"/>
  <c r="J804" i="106"/>
  <c r="J802" i="106"/>
  <c r="K802" i="106"/>
  <c r="O752" i="106"/>
  <c r="K736" i="106"/>
  <c r="J736" i="106"/>
  <c r="J764" i="106"/>
  <c r="K764" i="106"/>
  <c r="J758" i="106"/>
  <c r="K758" i="106"/>
  <c r="M736" i="106"/>
  <c r="M697" i="106"/>
  <c r="K720" i="106"/>
  <c r="J720" i="106"/>
  <c r="K717" i="106"/>
  <c r="J717" i="106"/>
  <c r="M713" i="106"/>
  <c r="O691" i="106"/>
  <c r="O702" i="106"/>
  <c r="O723" i="106"/>
  <c r="M630" i="106"/>
  <c r="J608" i="106"/>
  <c r="K608" i="106"/>
  <c r="M580" i="106"/>
  <c r="J634" i="106"/>
  <c r="K634" i="106"/>
  <c r="K587" i="106"/>
  <c r="J587" i="106"/>
  <c r="K623" i="106"/>
  <c r="J623" i="106"/>
  <c r="J618" i="106"/>
  <c r="K618" i="106"/>
  <c r="M608" i="106"/>
  <c r="J578" i="106"/>
  <c r="K578" i="106"/>
  <c r="J523" i="106"/>
  <c r="K523" i="106"/>
  <c r="J572" i="106"/>
  <c r="K572" i="106"/>
  <c r="J543" i="106"/>
  <c r="K543" i="106"/>
  <c r="M499" i="106"/>
  <c r="J453" i="106"/>
  <c r="K453" i="106"/>
  <c r="O541" i="106"/>
  <c r="J494" i="106"/>
  <c r="K494" i="106"/>
  <c r="K492" i="106"/>
  <c r="J492" i="106"/>
  <c r="O407" i="106"/>
  <c r="M386" i="106"/>
  <c r="M334" i="106"/>
  <c r="K415" i="106"/>
  <c r="J415" i="106"/>
  <c r="O320" i="106"/>
  <c r="M319" i="106"/>
  <c r="O373" i="106"/>
  <c r="J339" i="106"/>
  <c r="K339" i="106"/>
  <c r="J319" i="106"/>
  <c r="K319" i="106"/>
  <c r="M292" i="106"/>
  <c r="M300" i="106"/>
  <c r="K283" i="106"/>
  <c r="J283" i="106"/>
  <c r="K288" i="106"/>
  <c r="J288" i="106"/>
  <c r="O247" i="106"/>
  <c r="M424" i="106"/>
  <c r="K211" i="106"/>
  <c r="J211" i="106"/>
  <c r="J202" i="106"/>
  <c r="K202" i="106"/>
  <c r="J191" i="106"/>
  <c r="K191" i="106"/>
  <c r="M220" i="106"/>
  <c r="K148" i="106"/>
  <c r="J148" i="106"/>
  <c r="K295" i="106"/>
  <c r="J295" i="106"/>
  <c r="K227" i="106"/>
  <c r="J227" i="106"/>
  <c r="O120" i="106"/>
  <c r="K51" i="106"/>
  <c r="J51" i="106"/>
  <c r="K80" i="106"/>
  <c r="J80" i="106"/>
  <c r="K64" i="106"/>
  <c r="J64" i="106"/>
  <c r="K48" i="106"/>
  <c r="J48" i="106"/>
  <c r="O337" i="106"/>
  <c r="K257" i="106"/>
  <c r="J257" i="106"/>
  <c r="K263" i="106"/>
  <c r="J263" i="106"/>
  <c r="O155" i="106"/>
  <c r="O49" i="106"/>
  <c r="J112" i="106"/>
  <c r="K112" i="106"/>
  <c r="J127" i="106"/>
  <c r="K127" i="106"/>
  <c r="J838" i="106"/>
  <c r="K838" i="106"/>
  <c r="K677" i="106"/>
  <c r="J677" i="106"/>
  <c r="J596" i="106"/>
  <c r="K596" i="106"/>
  <c r="J636" i="106"/>
  <c r="K636" i="106"/>
  <c r="J212" i="106"/>
  <c r="K212" i="106"/>
  <c r="K184" i="106"/>
  <c r="J184" i="106"/>
  <c r="K199" i="106"/>
  <c r="J199" i="106"/>
  <c r="K52" i="106"/>
  <c r="J52" i="106"/>
  <c r="O1020" i="106"/>
  <c r="K976" i="106"/>
  <c r="J976" i="106"/>
  <c r="K951" i="106"/>
  <c r="J951" i="106"/>
  <c r="O918" i="106"/>
  <c r="M898" i="106"/>
  <c r="J872" i="106"/>
  <c r="K872" i="106"/>
  <c r="J866" i="106"/>
  <c r="K866" i="106"/>
  <c r="J750" i="106"/>
  <c r="K750" i="106"/>
  <c r="K843" i="106"/>
  <c r="J843" i="106"/>
  <c r="M817" i="106"/>
  <c r="M828" i="106"/>
  <c r="K808" i="106"/>
  <c r="J808" i="106"/>
  <c r="J806" i="106"/>
  <c r="K806" i="106"/>
  <c r="J768" i="106"/>
  <c r="K768" i="106"/>
  <c r="J762" i="106"/>
  <c r="K762" i="106"/>
  <c r="K676" i="106"/>
  <c r="J676" i="106"/>
  <c r="K660" i="106"/>
  <c r="J660" i="106"/>
  <c r="K739" i="106"/>
  <c r="J739" i="106"/>
  <c r="M717" i="106"/>
  <c r="O738" i="106"/>
  <c r="J535" i="106"/>
  <c r="K535" i="106"/>
  <c r="J612" i="106"/>
  <c r="K612" i="106"/>
  <c r="J638" i="106"/>
  <c r="K638" i="106"/>
  <c r="K625" i="106"/>
  <c r="J625" i="106"/>
  <c r="J622" i="106"/>
  <c r="K622" i="106"/>
  <c r="J582" i="106"/>
  <c r="K582" i="106"/>
  <c r="M678" i="106"/>
  <c r="J576" i="106"/>
  <c r="K576" i="106"/>
  <c r="J547" i="106"/>
  <c r="K547" i="106"/>
  <c r="K552" i="106"/>
  <c r="J552" i="106"/>
  <c r="K569" i="106"/>
  <c r="J569" i="106"/>
  <c r="J457" i="106"/>
  <c r="K457" i="106"/>
  <c r="O529" i="106"/>
  <c r="M501" i="106"/>
  <c r="J446" i="106"/>
  <c r="K446" i="106"/>
  <c r="J498" i="106"/>
  <c r="K498" i="106"/>
  <c r="K496" i="106"/>
  <c r="J496" i="106"/>
  <c r="K400" i="106"/>
  <c r="J400" i="106"/>
  <c r="K320" i="106"/>
  <c r="J320" i="106"/>
  <c r="K409" i="106"/>
  <c r="J409" i="106"/>
  <c r="K397" i="106"/>
  <c r="J397" i="106"/>
  <c r="K389" i="106"/>
  <c r="J389" i="106"/>
  <c r="K373" i="106"/>
  <c r="J373" i="106"/>
  <c r="K410" i="106"/>
  <c r="J410" i="106"/>
  <c r="J355" i="106"/>
  <c r="K355" i="106"/>
  <c r="J282" i="106"/>
  <c r="K282" i="106"/>
  <c r="M427" i="106"/>
  <c r="M422" i="106"/>
  <c r="M428" i="106"/>
  <c r="J206" i="106"/>
  <c r="K206" i="106"/>
  <c r="J187" i="106"/>
  <c r="K187" i="106"/>
  <c r="J139" i="106"/>
  <c r="K139" i="106"/>
  <c r="M224" i="106"/>
  <c r="K192" i="106"/>
  <c r="J192" i="106"/>
  <c r="K176" i="106"/>
  <c r="J176" i="106"/>
  <c r="K160" i="106"/>
  <c r="J160" i="106"/>
  <c r="K144" i="106"/>
  <c r="J144" i="106"/>
  <c r="J299" i="106"/>
  <c r="K299" i="106"/>
  <c r="K300" i="106"/>
  <c r="J300" i="106"/>
  <c r="K231" i="106"/>
  <c r="J231" i="106"/>
  <c r="K83" i="106"/>
  <c r="J83" i="106"/>
  <c r="K104" i="106"/>
  <c r="J104" i="106"/>
  <c r="J69" i="106"/>
  <c r="K69" i="106"/>
  <c r="M13" i="106"/>
  <c r="O15" i="106"/>
  <c r="K267" i="106"/>
  <c r="J267" i="106"/>
  <c r="O85" i="106"/>
  <c r="K29" i="106"/>
  <c r="J29" i="106"/>
  <c r="O159" i="106"/>
  <c r="J116" i="106"/>
  <c r="K116" i="106"/>
  <c r="J37" i="106"/>
  <c r="K37" i="106"/>
  <c r="K1039" i="106"/>
  <c r="J1039" i="106"/>
  <c r="J882" i="106"/>
  <c r="K882" i="106"/>
  <c r="K661" i="106"/>
  <c r="J661" i="106"/>
  <c r="K644" i="106"/>
  <c r="J644" i="106"/>
  <c r="J574" i="106"/>
  <c r="K574" i="106"/>
  <c r="K460" i="106"/>
  <c r="J460" i="106"/>
  <c r="K280" i="106"/>
  <c r="J280" i="106"/>
  <c r="K296" i="106"/>
  <c r="J296" i="106"/>
  <c r="K13" i="106"/>
  <c r="J13" i="106"/>
  <c r="K1041" i="106"/>
  <c r="J1041" i="106"/>
  <c r="K1005" i="106"/>
  <c r="J1005" i="106"/>
  <c r="J913" i="106"/>
  <c r="K913" i="106"/>
  <c r="K895" i="106"/>
  <c r="J895" i="106"/>
  <c r="K1024" i="106"/>
  <c r="J1024" i="106"/>
  <c r="O1040" i="106"/>
  <c r="J1002" i="106"/>
  <c r="K1002" i="106"/>
  <c r="O965" i="106"/>
  <c r="M988" i="106"/>
  <c r="M965" i="106"/>
  <c r="K968" i="106"/>
  <c r="J968" i="106"/>
  <c r="M947" i="106"/>
  <c r="K980" i="106"/>
  <c r="J980" i="106"/>
  <c r="J978" i="106"/>
  <c r="K978" i="106"/>
  <c r="K955" i="106"/>
  <c r="J955" i="106"/>
  <c r="M1038" i="106"/>
  <c r="O947" i="106"/>
  <c r="O894" i="106"/>
  <c r="O911" i="106"/>
  <c r="M885" i="106"/>
  <c r="O854" i="106"/>
  <c r="J876" i="106"/>
  <c r="K876" i="106"/>
  <c r="J870" i="106"/>
  <c r="K870" i="106"/>
  <c r="M857" i="106"/>
  <c r="M864" i="106"/>
  <c r="K847" i="106"/>
  <c r="J847" i="106"/>
  <c r="O810" i="106"/>
  <c r="M821" i="106"/>
  <c r="K795" i="106"/>
  <c r="J795" i="106"/>
  <c r="J810" i="106"/>
  <c r="K810" i="106"/>
  <c r="K663" i="106"/>
  <c r="J663" i="106"/>
  <c r="K772" i="106"/>
  <c r="J772" i="106"/>
  <c r="J766" i="106"/>
  <c r="K766" i="106"/>
  <c r="M739" i="106"/>
  <c r="M785" i="106"/>
  <c r="M754" i="106"/>
  <c r="J738" i="106"/>
  <c r="K738" i="106"/>
  <c r="K681" i="106"/>
  <c r="J681" i="106"/>
  <c r="O697" i="106"/>
  <c r="O699" i="106"/>
  <c r="O731" i="106"/>
  <c r="O661" i="106"/>
  <c r="O663" i="106"/>
  <c r="M588" i="106"/>
  <c r="M632" i="106"/>
  <c r="J642" i="106"/>
  <c r="K642" i="106"/>
  <c r="K550" i="106"/>
  <c r="J550" i="106"/>
  <c r="J626" i="106"/>
  <c r="K626" i="106"/>
  <c r="M602" i="106"/>
  <c r="J586" i="106"/>
  <c r="K586" i="106"/>
  <c r="K562" i="106"/>
  <c r="J562" i="106"/>
  <c r="M682" i="106"/>
  <c r="K481" i="106"/>
  <c r="J481" i="106"/>
  <c r="J551" i="106"/>
  <c r="K551" i="106"/>
  <c r="K631" i="106"/>
  <c r="J631" i="106"/>
  <c r="K546" i="106"/>
  <c r="J546" i="106"/>
  <c r="J461" i="106"/>
  <c r="K461" i="106"/>
  <c r="O537" i="106"/>
  <c r="K447" i="106"/>
  <c r="J447" i="106"/>
  <c r="K439" i="106"/>
  <c r="J439" i="106"/>
  <c r="K427" i="106"/>
  <c r="J427" i="106"/>
  <c r="K440" i="106"/>
  <c r="J440" i="106"/>
  <c r="O553" i="106"/>
  <c r="K489" i="106"/>
  <c r="J489" i="106"/>
  <c r="K500" i="106"/>
  <c r="J500" i="106"/>
  <c r="O319" i="106"/>
  <c r="O408" i="106"/>
  <c r="O396" i="106"/>
  <c r="O372" i="106"/>
  <c r="K357" i="106"/>
  <c r="J357" i="106"/>
  <c r="K317" i="106"/>
  <c r="J317" i="106"/>
  <c r="M391" i="106"/>
  <c r="J242" i="106"/>
  <c r="K242" i="106"/>
  <c r="M303" i="106"/>
  <c r="K244" i="106"/>
  <c r="J244" i="106"/>
  <c r="M425" i="106"/>
  <c r="M426" i="106"/>
  <c r="M432" i="106"/>
  <c r="K306" i="106"/>
  <c r="J306" i="106"/>
  <c r="J200" i="106"/>
  <c r="K200" i="106"/>
  <c r="J210" i="106"/>
  <c r="K210" i="106"/>
  <c r="J183" i="106"/>
  <c r="K183" i="106"/>
  <c r="J159" i="106"/>
  <c r="K159" i="106"/>
  <c r="M234" i="106"/>
  <c r="M228" i="106"/>
  <c r="M157" i="106"/>
  <c r="O175" i="106"/>
  <c r="J290" i="106"/>
  <c r="K290" i="106"/>
  <c r="K304" i="106"/>
  <c r="J304" i="106"/>
  <c r="J220" i="106"/>
  <c r="K220" i="106"/>
  <c r="K235" i="106"/>
  <c r="J235" i="106"/>
  <c r="M139" i="106"/>
  <c r="O122" i="106"/>
  <c r="M65" i="106"/>
  <c r="O103" i="106"/>
  <c r="K88" i="106"/>
  <c r="J88" i="106"/>
  <c r="K72" i="106"/>
  <c r="J72" i="106"/>
  <c r="M126" i="106"/>
  <c r="O336" i="106"/>
  <c r="O31" i="106"/>
  <c r="K256" i="106"/>
  <c r="J256" i="106"/>
  <c r="K271" i="106"/>
  <c r="J271" i="106"/>
  <c r="O13" i="106"/>
  <c r="K113" i="106"/>
  <c r="J113" i="106"/>
  <c r="K120" i="106"/>
  <c r="J120" i="106"/>
  <c r="K36" i="106"/>
  <c r="J36" i="106"/>
  <c r="K1045" i="106"/>
  <c r="J1045" i="106"/>
  <c r="M1008" i="106"/>
  <c r="K871" i="106"/>
  <c r="J871" i="106"/>
  <c r="J786" i="106"/>
  <c r="K786" i="106"/>
  <c r="K679" i="106"/>
  <c r="J679" i="106"/>
  <c r="K767" i="106"/>
  <c r="J767" i="106"/>
  <c r="K561" i="106"/>
  <c r="J561" i="106"/>
  <c r="J511" i="106"/>
  <c r="K511" i="106"/>
  <c r="K393" i="106"/>
  <c r="J393" i="106"/>
  <c r="J343" i="106"/>
  <c r="K343" i="106"/>
  <c r="K84" i="106"/>
  <c r="J84" i="106"/>
  <c r="K268" i="106"/>
  <c r="J268" i="106"/>
  <c r="K33" i="106"/>
  <c r="J33" i="106"/>
  <c r="O1039" i="106"/>
  <c r="J966" i="106"/>
  <c r="K966" i="106"/>
  <c r="O1002" i="106"/>
  <c r="J974" i="106"/>
  <c r="K974" i="106"/>
  <c r="J894" i="106"/>
  <c r="K894" i="106"/>
  <c r="O907" i="106"/>
  <c r="J850" i="106"/>
  <c r="K850" i="106"/>
  <c r="J862" i="106"/>
  <c r="K862" i="106"/>
  <c r="O1026" i="106"/>
  <c r="M1018" i="106"/>
  <c r="J1042" i="106"/>
  <c r="K1042" i="106"/>
  <c r="O1000" i="106"/>
  <c r="K967" i="106"/>
  <c r="J967" i="106"/>
  <c r="M1000" i="106"/>
  <c r="O967" i="106"/>
  <c r="K984" i="106"/>
  <c r="J984" i="106"/>
  <c r="J982" i="106"/>
  <c r="K982" i="106"/>
  <c r="J950" i="106"/>
  <c r="K950" i="106"/>
  <c r="O931" i="106"/>
  <c r="M1042" i="106"/>
  <c r="M1036" i="106"/>
  <c r="J937" i="106"/>
  <c r="K937" i="106"/>
  <c r="O951" i="106"/>
  <c r="O915" i="106"/>
  <c r="J822" i="106"/>
  <c r="K822" i="106"/>
  <c r="M889" i="106"/>
  <c r="M901" i="106"/>
  <c r="O864" i="106"/>
  <c r="K880" i="106"/>
  <c r="J880" i="106"/>
  <c r="J874" i="106"/>
  <c r="K874" i="106"/>
  <c r="M848" i="106"/>
  <c r="O822" i="106"/>
  <c r="K836" i="106"/>
  <c r="J836" i="106"/>
  <c r="J830" i="106"/>
  <c r="K830" i="106"/>
  <c r="M825" i="106"/>
  <c r="K805" i="106"/>
  <c r="J805" i="106"/>
  <c r="K799" i="106"/>
  <c r="J799" i="106"/>
  <c r="K811" i="106"/>
  <c r="J811" i="106"/>
  <c r="K759" i="106"/>
  <c r="J759" i="106"/>
  <c r="J770" i="106"/>
  <c r="K770" i="106"/>
  <c r="M661" i="106"/>
  <c r="M789" i="106"/>
  <c r="M740" i="106"/>
  <c r="K716" i="106"/>
  <c r="J716" i="106"/>
  <c r="K700" i="106"/>
  <c r="J700" i="106"/>
  <c r="K684" i="106"/>
  <c r="J684" i="106"/>
  <c r="K713" i="106"/>
  <c r="J713" i="106"/>
  <c r="K697" i="106"/>
  <c r="J697" i="106"/>
  <c r="O688" i="106"/>
  <c r="O703" i="106"/>
  <c r="O724" i="106"/>
  <c r="O722" i="106"/>
  <c r="O652" i="106"/>
  <c r="O667" i="106"/>
  <c r="M768" i="106"/>
  <c r="J598" i="106"/>
  <c r="K598" i="106"/>
  <c r="M592" i="106"/>
  <c r="M636" i="106"/>
  <c r="J645" i="106"/>
  <c r="K645" i="106"/>
  <c r="J616" i="106"/>
  <c r="K616" i="106"/>
  <c r="J630" i="106"/>
  <c r="K630" i="106"/>
  <c r="M606" i="106"/>
  <c r="K595" i="106"/>
  <c r="J595" i="106"/>
  <c r="J590" i="106"/>
  <c r="K590" i="106"/>
  <c r="J573" i="106"/>
  <c r="K573" i="106"/>
  <c r="M679" i="106"/>
  <c r="J565" i="106"/>
  <c r="K565" i="106"/>
  <c r="K545" i="106"/>
  <c r="J545" i="106"/>
  <c r="K571" i="106"/>
  <c r="J571" i="106"/>
  <c r="J566" i="106"/>
  <c r="K566" i="106"/>
  <c r="J555" i="106"/>
  <c r="K555" i="106"/>
  <c r="J465" i="106"/>
  <c r="K465" i="106"/>
  <c r="O446" i="106"/>
  <c r="M463" i="106"/>
  <c r="O450" i="106"/>
  <c r="J442" i="106"/>
  <c r="K442" i="106"/>
  <c r="K493" i="106"/>
  <c r="J493" i="106"/>
  <c r="K505" i="106"/>
  <c r="J505" i="106"/>
  <c r="M414" i="106"/>
  <c r="M337" i="106"/>
  <c r="K392" i="106"/>
  <c r="J392" i="106"/>
  <c r="O375" i="106"/>
  <c r="O356" i="106"/>
  <c r="O316" i="106"/>
  <c r="M343" i="106"/>
  <c r="K394" i="106"/>
  <c r="J394" i="106"/>
  <c r="K378" i="106"/>
  <c r="J378" i="106"/>
  <c r="K370" i="106"/>
  <c r="J370" i="106"/>
  <c r="J407" i="106"/>
  <c r="K407" i="106"/>
  <c r="J379" i="106"/>
  <c r="K379" i="106"/>
  <c r="J371" i="106"/>
  <c r="K371" i="106"/>
  <c r="J335" i="106"/>
  <c r="K335" i="106"/>
  <c r="J238" i="106"/>
  <c r="K238" i="106"/>
  <c r="M264" i="106"/>
  <c r="M307" i="106"/>
  <c r="M265" i="106"/>
  <c r="K284" i="106"/>
  <c r="J284" i="106"/>
  <c r="K240" i="106"/>
  <c r="J240" i="106"/>
  <c r="M417" i="106"/>
  <c r="M430" i="106"/>
  <c r="M230" i="106"/>
  <c r="J204" i="106"/>
  <c r="K204" i="106"/>
  <c r="J214" i="106"/>
  <c r="K214" i="106"/>
  <c r="J294" i="106"/>
  <c r="K294" i="106"/>
  <c r="J224" i="106"/>
  <c r="K224" i="106"/>
  <c r="J218" i="106"/>
  <c r="K218" i="106"/>
  <c r="O199" i="106"/>
  <c r="K47" i="106"/>
  <c r="J47" i="106"/>
  <c r="M49" i="106"/>
  <c r="M118" i="106"/>
  <c r="J105" i="106"/>
  <c r="K105" i="106"/>
  <c r="J85" i="106"/>
  <c r="K85" i="106"/>
  <c r="J49" i="106"/>
  <c r="K49" i="106"/>
  <c r="O340" i="106"/>
  <c r="O47" i="106"/>
  <c r="K260" i="106"/>
  <c r="J260" i="106"/>
  <c r="J254" i="106"/>
  <c r="K254" i="106"/>
  <c r="M15" i="106"/>
  <c r="K118" i="106"/>
  <c r="J118" i="106"/>
  <c r="K124" i="106"/>
  <c r="J124" i="106"/>
  <c r="K15" i="106"/>
  <c r="J15" i="106"/>
  <c r="L79" i="104"/>
  <c r="L117" i="104" s="1"/>
  <c r="L126" i="104" s="1"/>
  <c r="AA26" i="102" l="1"/>
  <c r="D25" i="108"/>
  <c r="E25" i="108"/>
  <c r="F8" i="108"/>
  <c r="C6" i="102"/>
  <c r="C7" i="102"/>
  <c r="C8" i="102"/>
  <c r="C9" i="102"/>
  <c r="C10" i="102"/>
  <c r="C11" i="102"/>
  <c r="C12" i="102"/>
  <c r="C13" i="102"/>
  <c r="C14" i="102"/>
  <c r="C15" i="102"/>
  <c r="C16" i="102"/>
  <c r="C17" i="102"/>
  <c r="C18" i="102"/>
  <c r="C19" i="102"/>
  <c r="C20" i="102"/>
  <c r="C21" i="102"/>
  <c r="C22" i="102"/>
  <c r="C23" i="102"/>
  <c r="C24" i="102"/>
  <c r="C5" i="102"/>
  <c r="B25" i="102"/>
  <c r="I24" i="29" s="1"/>
  <c r="M93" i="94" l="1"/>
  <c r="AH93" i="94" s="1"/>
  <c r="AK93" i="94" s="1"/>
  <c r="V25" i="102"/>
  <c r="W25" i="102"/>
  <c r="U25" i="102"/>
  <c r="C25" i="102"/>
  <c r="G8" i="108"/>
  <c r="F25" i="108"/>
  <c r="Z26" i="29" l="1"/>
  <c r="S26" i="102"/>
  <c r="Y73" i="94" s="1"/>
  <c r="Q26" i="102"/>
  <c r="T26" i="102"/>
  <c r="AH73" i="94" s="1"/>
  <c r="R26" i="102"/>
  <c r="R73" i="94" s="1"/>
  <c r="U26" i="102"/>
  <c r="U28" i="94"/>
  <c r="AJ111" i="113"/>
  <c r="H35" i="102"/>
  <c r="X5" i="102"/>
  <c r="X25" i="102" s="1"/>
  <c r="H8" i="108"/>
  <c r="G25" i="108"/>
  <c r="AK73" i="94" l="1"/>
  <c r="M82" i="94"/>
  <c r="AI4" i="102"/>
  <c r="AE28" i="94"/>
  <c r="AJ28" i="94" s="1"/>
  <c r="AK28" i="94" s="1"/>
  <c r="AK3" i="94" s="1"/>
  <c r="V3" i="102"/>
  <c r="H25" i="108"/>
  <c r="I8" i="108"/>
  <c r="Y25" i="102" l="1"/>
  <c r="Z5" i="102" s="1"/>
  <c r="AA5" i="102" s="1"/>
  <c r="I25" i="108"/>
  <c r="J8" i="108"/>
  <c r="AN25" i="102"/>
  <c r="I26" i="102" s="1"/>
  <c r="AO25" i="102"/>
  <c r="J26" i="102" s="1"/>
  <c r="Z8" i="102" l="1"/>
  <c r="AA8" i="102" s="1"/>
  <c r="Z23" i="102"/>
  <c r="AA23" i="102" s="1"/>
  <c r="Z7" i="102"/>
  <c r="AA7" i="102" s="1"/>
  <c r="Z22" i="102"/>
  <c r="AA22" i="102" s="1"/>
  <c r="Z16" i="102"/>
  <c r="AA16" i="102" s="1"/>
  <c r="Z9" i="102"/>
  <c r="AA9" i="102" s="1"/>
  <c r="Z14" i="102"/>
  <c r="AA14" i="102" s="1"/>
  <c r="Z15" i="102"/>
  <c r="AA15" i="102" s="1"/>
  <c r="Z24" i="102"/>
  <c r="AA24" i="102" s="1"/>
  <c r="Z10" i="102"/>
  <c r="AA10" i="102" s="1"/>
  <c r="Z17" i="102"/>
  <c r="AA17" i="102" s="1"/>
  <c r="Z21" i="102"/>
  <c r="AA21" i="102" s="1"/>
  <c r="Z13" i="102"/>
  <c r="AA13" i="102" s="1"/>
  <c r="Z20" i="102"/>
  <c r="AA20" i="102" s="1"/>
  <c r="Z12" i="102"/>
  <c r="AA12" i="102" s="1"/>
  <c r="Z6" i="102"/>
  <c r="AA6" i="102" s="1"/>
  <c r="Z19" i="102"/>
  <c r="AA19" i="102" s="1"/>
  <c r="Z18" i="102"/>
  <c r="AA18" i="102" s="1"/>
  <c r="Z11" i="102"/>
  <c r="AA11" i="102" s="1"/>
  <c r="D5" i="108"/>
  <c r="J25" i="108"/>
  <c r="K8" i="108"/>
  <c r="Z25" i="102" l="1"/>
  <c r="L8" i="108"/>
  <c r="K25" i="108"/>
  <c r="L25" i="108" l="1"/>
  <c r="M8" i="108"/>
  <c r="N8" i="108" l="1"/>
  <c r="M25" i="108"/>
  <c r="O8" i="108" l="1"/>
  <c r="N25" i="108"/>
  <c r="O25" i="108" l="1"/>
  <c r="P8" i="108"/>
  <c r="P25" i="108" l="1"/>
  <c r="Q8" i="108"/>
  <c r="Q25" i="108" l="1"/>
  <c r="R8" i="108"/>
  <c r="R25" i="108" l="1"/>
  <c r="AA25" i="102" l="1"/>
  <c r="AC24" i="102"/>
  <c r="AD24" i="102" s="1"/>
  <c r="AC15" i="102"/>
  <c r="AD15" i="102" s="1"/>
  <c r="AC12" i="102"/>
  <c r="AD12" i="102" s="1"/>
  <c r="AC16" i="102"/>
  <c r="AD16" i="102" s="1"/>
  <c r="AC11" i="102"/>
  <c r="AD11" i="102" s="1"/>
  <c r="AC9" i="102"/>
  <c r="AD9" i="102" s="1"/>
  <c r="AC6" i="102"/>
  <c r="AD6" i="102" s="1"/>
  <c r="AC7" i="102"/>
  <c r="AD7" i="102" s="1"/>
  <c r="AC5" i="102"/>
  <c r="AC18" i="102"/>
  <c r="AD18" i="102" s="1"/>
  <c r="AC13" i="102"/>
  <c r="AD13" i="102" s="1"/>
  <c r="AC17" i="102"/>
  <c r="AD17" i="102" s="1"/>
  <c r="AC21" i="102"/>
  <c r="AD21" i="102" s="1"/>
  <c r="AC19" i="102"/>
  <c r="AD19" i="102" s="1"/>
  <c r="AC10" i="102"/>
  <c r="AD10" i="102" s="1"/>
  <c r="AC20" i="102"/>
  <c r="AD20" i="102" s="1"/>
  <c r="AC8" i="102"/>
  <c r="AD8" i="102" s="1"/>
  <c r="AC22" i="102"/>
  <c r="AD22" i="102" s="1"/>
  <c r="AC14" i="102"/>
  <c r="AD14" i="102" s="1"/>
  <c r="AC23" i="102"/>
  <c r="AD23" i="102" s="1"/>
  <c r="AD5" i="102" l="1"/>
  <c r="AD25" i="102" s="1"/>
  <c r="N32" i="102" s="1"/>
  <c r="AC25" i="102"/>
  <c r="AB7" i="102"/>
  <c r="AB19" i="102"/>
  <c r="AB9" i="102"/>
  <c r="AE9" i="102"/>
  <c r="AF9" i="102" s="1"/>
  <c r="AB21" i="102"/>
  <c r="AE21" i="102"/>
  <c r="AB11" i="102"/>
  <c r="AE11" i="102"/>
  <c r="AF11" i="102" s="1"/>
  <c r="AB10" i="102"/>
  <c r="AE10" i="102"/>
  <c r="AF10" i="102" s="1"/>
  <c r="AB6" i="102"/>
  <c r="AE6" i="102"/>
  <c r="AF6" i="102" s="1"/>
  <c r="AB23" i="102"/>
  <c r="AE23" i="102"/>
  <c r="AB14" i="102"/>
  <c r="AE14" i="102"/>
  <c r="AF14" i="102" s="1"/>
  <c r="AB12" i="102"/>
  <c r="AE12" i="102"/>
  <c r="AF12" i="102" s="1"/>
  <c r="AB18" i="102"/>
  <c r="AE18" i="102"/>
  <c r="AB15" i="102"/>
  <c r="AE15" i="102"/>
  <c r="AF15" i="102" s="1"/>
  <c r="AB13" i="102"/>
  <c r="AE13" i="102"/>
  <c r="AB22" i="102"/>
  <c r="AE22" i="102"/>
  <c r="AF22" i="102" s="1"/>
  <c r="AB8" i="102"/>
  <c r="AE8" i="102"/>
  <c r="AF8" i="102" s="1"/>
  <c r="AB5" i="102"/>
  <c r="AB24" i="102"/>
  <c r="AE24" i="102"/>
  <c r="AF24" i="102" s="1"/>
  <c r="AE16" i="102"/>
  <c r="AF16" i="102" s="1"/>
  <c r="AE17" i="102"/>
  <c r="AF17" i="102" s="1"/>
  <c r="AE20" i="102"/>
  <c r="AF20" i="102" s="1"/>
  <c r="AB20" i="102"/>
  <c r="AB16" i="102"/>
  <c r="AE19" i="102"/>
  <c r="AF19" i="102" s="1"/>
  <c r="AB17" i="102"/>
  <c r="AE7" i="102"/>
  <c r="F32" i="102" l="1"/>
  <c r="U82" i="94"/>
  <c r="J16" i="29"/>
  <c r="P32" i="102"/>
  <c r="AI16" i="29" s="1"/>
  <c r="AF21" i="102"/>
  <c r="AG21" i="102" s="1"/>
  <c r="AF18" i="102"/>
  <c r="AG18" i="102" s="1"/>
  <c r="AF23" i="102"/>
  <c r="AG23" i="102" s="1"/>
  <c r="AF13" i="102"/>
  <c r="AG13" i="102" s="1"/>
  <c r="AF7" i="102"/>
  <c r="AG7" i="102" s="1"/>
  <c r="AB25" i="102"/>
  <c r="AP25" i="102"/>
  <c r="AE5" i="102"/>
  <c r="AF5" i="102" s="1"/>
  <c r="AG10" i="102"/>
  <c r="AI10" i="102" s="1"/>
  <c r="AJ10" i="102" s="1"/>
  <c r="AG12" i="102"/>
  <c r="AI12" i="102" s="1"/>
  <c r="AJ12" i="102" s="1"/>
  <c r="AG20" i="102"/>
  <c r="AI20" i="102" s="1"/>
  <c r="AJ20" i="102" s="1"/>
  <c r="AG6" i="102"/>
  <c r="AI6" i="102" s="1"/>
  <c r="AJ6" i="102" s="1"/>
  <c r="AG19" i="102"/>
  <c r="AI19" i="102" s="1"/>
  <c r="AJ19" i="102" s="1"/>
  <c r="AG9" i="102"/>
  <c r="AI9" i="102" s="1"/>
  <c r="AJ9" i="102" s="1"/>
  <c r="AG17" i="102"/>
  <c r="AI17" i="102" s="1"/>
  <c r="AJ17" i="102" s="1"/>
  <c r="AG11" i="102"/>
  <c r="AI11" i="102" s="1"/>
  <c r="AJ11" i="102" s="1"/>
  <c r="AG24" i="102"/>
  <c r="AI24" i="102" s="1"/>
  <c r="AJ24" i="102" s="1"/>
  <c r="AG8" i="102"/>
  <c r="AI8" i="102" s="1"/>
  <c r="AJ8" i="102" s="1"/>
  <c r="AG22" i="102"/>
  <c r="AI22" i="102" s="1"/>
  <c r="AJ22" i="102" s="1"/>
  <c r="AG15" i="102"/>
  <c r="AI15" i="102" s="1"/>
  <c r="AJ15" i="102" s="1"/>
  <c r="AG16" i="102"/>
  <c r="AI16" i="102" s="1"/>
  <c r="AJ16" i="102" s="1"/>
  <c r="AG14" i="102"/>
  <c r="AI14" i="102" s="1"/>
  <c r="AJ14" i="102" s="1"/>
  <c r="AK82" i="94" l="1"/>
  <c r="AI18" i="102"/>
  <c r="AJ18" i="102" s="1"/>
  <c r="AK18" i="102" s="1"/>
  <c r="AH18" i="102"/>
  <c r="AI7" i="102"/>
  <c r="AJ7" i="102" s="1"/>
  <c r="AK7" i="102" s="1"/>
  <c r="AH7" i="102"/>
  <c r="AI13" i="102"/>
  <c r="AJ13" i="102" s="1"/>
  <c r="AK13" i="102" s="1"/>
  <c r="AH13" i="102"/>
  <c r="AI23" i="102"/>
  <c r="AJ23" i="102" s="1"/>
  <c r="AK23" i="102" s="1"/>
  <c r="AH23" i="102"/>
  <c r="AI21" i="102"/>
  <c r="AJ21" i="102" s="1"/>
  <c r="AK21" i="102" s="1"/>
  <c r="AH21" i="102"/>
  <c r="AG5" i="102"/>
  <c r="AI5" i="102" s="1"/>
  <c r="AJ5" i="102" s="1"/>
  <c r="AE25" i="102"/>
  <c r="K26" i="102"/>
  <c r="D6" i="108" s="1"/>
  <c r="D12" i="108" s="1"/>
  <c r="D20" i="108" s="1"/>
  <c r="AH19" i="102"/>
  <c r="AH6" i="102"/>
  <c r="AH11" i="102"/>
  <c r="AH10" i="102"/>
  <c r="AH16" i="102"/>
  <c r="AH24" i="102"/>
  <c r="AH12" i="102"/>
  <c r="AH15" i="102"/>
  <c r="AH22" i="102"/>
  <c r="AH9" i="102"/>
  <c r="AH20" i="102"/>
  <c r="AH17" i="102"/>
  <c r="AH8" i="102"/>
  <c r="AH14" i="102"/>
  <c r="AH5" i="102" l="1"/>
  <c r="D24" i="108"/>
  <c r="D34" i="107"/>
  <c r="E6" i="108"/>
  <c r="F6" i="108" s="1"/>
  <c r="AI25" i="102"/>
  <c r="E5" i="108"/>
  <c r="D23" i="108"/>
  <c r="D29" i="108" s="1"/>
  <c r="D31" i="108" s="1"/>
  <c r="D43" i="108" s="1"/>
  <c r="D33" i="107"/>
  <c r="D43" i="107" s="1"/>
  <c r="AK11" i="102"/>
  <c r="AK24" i="102"/>
  <c r="AK17" i="102"/>
  <c r="AK9" i="102"/>
  <c r="AK20" i="102"/>
  <c r="AK14" i="102"/>
  <c r="AK15" i="102"/>
  <c r="AK8" i="102"/>
  <c r="AK16" i="102"/>
  <c r="AK12" i="102"/>
  <c r="AK19" i="102"/>
  <c r="AK22" i="102"/>
  <c r="AK10" i="102"/>
  <c r="AK6" i="102"/>
  <c r="D64" i="108" l="1"/>
  <c r="D67" i="108"/>
  <c r="D71" i="108" s="1"/>
  <c r="U81" i="94"/>
  <c r="E12" i="108"/>
  <c r="E20" i="108" s="1"/>
  <c r="E24" i="108"/>
  <c r="D51" i="107"/>
  <c r="D52" i="107" s="1"/>
  <c r="D123" i="107" s="1"/>
  <c r="D134" i="107" s="1"/>
  <c r="D57" i="108"/>
  <c r="D68" i="108" s="1"/>
  <c r="D70" i="108" s="1"/>
  <c r="AK5" i="102"/>
  <c r="AK25" i="102" s="1"/>
  <c r="AJ25" i="102"/>
  <c r="N33" i="102" s="1"/>
  <c r="E23" i="108"/>
  <c r="F5" i="108"/>
  <c r="F12" i="108" s="1"/>
  <c r="F20" i="108" s="1"/>
  <c r="F24" i="108"/>
  <c r="G6" i="108"/>
  <c r="P33" i="102" l="1"/>
  <c r="AI17" i="29" s="1"/>
  <c r="N34" i="102"/>
  <c r="P34" i="102"/>
  <c r="J17" i="29"/>
  <c r="W18" i="29"/>
  <c r="E29" i="108"/>
  <c r="E31" i="108" s="1"/>
  <c r="E43" i="108" s="1"/>
  <c r="D61" i="108"/>
  <c r="F23" i="108"/>
  <c r="F29" i="108" s="1"/>
  <c r="F31" i="108" s="1"/>
  <c r="F43" i="108" s="1"/>
  <c r="G5" i="108"/>
  <c r="G12" i="108" s="1"/>
  <c r="G20" i="108" s="1"/>
  <c r="H6" i="108"/>
  <c r="G24" i="108"/>
  <c r="F67" i="108" l="1"/>
  <c r="F71" i="108" s="1"/>
  <c r="AI18" i="29"/>
  <c r="M81" i="94" s="1"/>
  <c r="E57" i="108"/>
  <c r="E61" i="108" s="1"/>
  <c r="E67" i="108"/>
  <c r="E71" i="108" s="1"/>
  <c r="F57" i="108"/>
  <c r="H5" i="108"/>
  <c r="G23" i="108"/>
  <c r="G29" i="108" s="1"/>
  <c r="G31" i="108" s="1"/>
  <c r="G43" i="108" s="1"/>
  <c r="I6" i="108"/>
  <c r="H24" i="108"/>
  <c r="G67" i="108" l="1"/>
  <c r="G71" i="108" s="1"/>
  <c r="F68" i="108"/>
  <c r="F70" i="108" s="1"/>
  <c r="E68" i="108"/>
  <c r="E70" i="108" s="1"/>
  <c r="F61" i="108"/>
  <c r="G57" i="108"/>
  <c r="I5" i="108"/>
  <c r="H23" i="108"/>
  <c r="H29" i="108" s="1"/>
  <c r="H12" i="108"/>
  <c r="H20" i="108" s="1"/>
  <c r="I24" i="108"/>
  <c r="J6" i="108"/>
  <c r="G68" i="108" l="1"/>
  <c r="G70" i="108" s="1"/>
  <c r="G61" i="108"/>
  <c r="H31" i="108"/>
  <c r="H43" i="108" s="1"/>
  <c r="I23" i="108"/>
  <c r="I29" i="108" s="1"/>
  <c r="J5" i="108"/>
  <c r="J12" i="108" s="1"/>
  <c r="J20" i="108" s="1"/>
  <c r="I12" i="108"/>
  <c r="I20" i="108" s="1"/>
  <c r="J24" i="108"/>
  <c r="K6" i="108"/>
  <c r="H67" i="108" l="1"/>
  <c r="H71" i="108" s="1"/>
  <c r="H57" i="108"/>
  <c r="I31" i="108"/>
  <c r="I43" i="108" s="1"/>
  <c r="I67" i="108" s="1"/>
  <c r="I71" i="108" s="1"/>
  <c r="K5" i="108"/>
  <c r="K12" i="108" s="1"/>
  <c r="K20" i="108" s="1"/>
  <c r="J23" i="108"/>
  <c r="J29" i="108" s="1"/>
  <c r="J31" i="108" s="1"/>
  <c r="J43" i="108" s="1"/>
  <c r="J67" i="108" s="1"/>
  <c r="J71" i="108" s="1"/>
  <c r="K24" i="108"/>
  <c r="L6" i="108"/>
  <c r="N45" i="102" l="1"/>
  <c r="H68" i="108"/>
  <c r="H70" i="108" s="1"/>
  <c r="H61" i="108"/>
  <c r="I57" i="108"/>
  <c r="I68" i="108" s="1"/>
  <c r="I70" i="108" s="1"/>
  <c r="L5" i="108"/>
  <c r="L12" i="108" s="1"/>
  <c r="L20" i="108" s="1"/>
  <c r="K23" i="108"/>
  <c r="K29" i="108" s="1"/>
  <c r="K31" i="108" s="1"/>
  <c r="K43" i="108" s="1"/>
  <c r="K67" i="108" s="1"/>
  <c r="K71" i="108" s="1"/>
  <c r="J57" i="108"/>
  <c r="J68" i="108" s="1"/>
  <c r="J70" i="108" s="1"/>
  <c r="M6" i="108"/>
  <c r="L24" i="108"/>
  <c r="I61" i="108" l="1"/>
  <c r="K57" i="108"/>
  <c r="K68" i="108" s="1"/>
  <c r="K70" i="108" s="1"/>
  <c r="M5" i="108"/>
  <c r="M12" i="108" s="1"/>
  <c r="M20" i="108" s="1"/>
  <c r="L23" i="108"/>
  <c r="L29" i="108" s="1"/>
  <c r="L31" i="108" s="1"/>
  <c r="L43" i="108" s="1"/>
  <c r="L67" i="108" s="1"/>
  <c r="L71" i="108" s="1"/>
  <c r="N6" i="108"/>
  <c r="M24" i="108"/>
  <c r="J61" i="108"/>
  <c r="W23" i="29" l="1"/>
  <c r="J18" i="29"/>
  <c r="K61" i="108"/>
  <c r="M23" i="108"/>
  <c r="M29" i="108" s="1"/>
  <c r="M31" i="108" s="1"/>
  <c r="M43" i="108" s="1"/>
  <c r="M67" i="108" s="1"/>
  <c r="M71" i="108" s="1"/>
  <c r="N5" i="108"/>
  <c r="L57" i="108"/>
  <c r="L68" i="108" s="1"/>
  <c r="L70" i="108" s="1"/>
  <c r="O6" i="108"/>
  <c r="N24" i="108"/>
  <c r="M57" i="108" l="1"/>
  <c r="M68" i="108" s="1"/>
  <c r="M70" i="108" s="1"/>
  <c r="N23" i="108"/>
  <c r="N29" i="108" s="1"/>
  <c r="O5" i="108"/>
  <c r="N12" i="108"/>
  <c r="N20" i="108" s="1"/>
  <c r="O24" i="108"/>
  <c r="P6" i="108"/>
  <c r="L61" i="108"/>
  <c r="M61" i="108" l="1"/>
  <c r="N31" i="108"/>
  <c r="N43" i="108" s="1"/>
  <c r="N67" i="108" s="1"/>
  <c r="N71" i="108" s="1"/>
  <c r="P5" i="108"/>
  <c r="P12" i="108" s="1"/>
  <c r="P20" i="108" s="1"/>
  <c r="O23" i="108"/>
  <c r="O29" i="108" s="1"/>
  <c r="O12" i="108"/>
  <c r="O20" i="108" s="1"/>
  <c r="Q6" i="108"/>
  <c r="P24" i="108"/>
  <c r="N57" i="108" l="1"/>
  <c r="O31" i="108"/>
  <c r="O43" i="108" s="1"/>
  <c r="P23" i="108"/>
  <c r="P29" i="108" s="1"/>
  <c r="P31" i="108" s="1"/>
  <c r="P43" i="108" s="1"/>
  <c r="P67" i="108" s="1"/>
  <c r="P71" i="108" s="1"/>
  <c r="Q5" i="108"/>
  <c r="Q12" i="108" s="1"/>
  <c r="Q20" i="108" s="1"/>
  <c r="Q24" i="108"/>
  <c r="R6" i="108"/>
  <c r="O57" i="108" l="1"/>
  <c r="O68" i="108" s="1"/>
  <c r="O70" i="108" s="1"/>
  <c r="O67" i="108"/>
  <c r="O71" i="108" s="1"/>
  <c r="N61" i="108"/>
  <c r="N68" i="108"/>
  <c r="N70" i="108" s="1"/>
  <c r="P57" i="108"/>
  <c r="P68" i="108" s="1"/>
  <c r="P70" i="108" s="1"/>
  <c r="Q23" i="108"/>
  <c r="Q29" i="108" s="1"/>
  <c r="Q31" i="108" s="1"/>
  <c r="Q43" i="108" s="1"/>
  <c r="Q67" i="108" s="1"/>
  <c r="Q71" i="108" s="1"/>
  <c r="R5" i="108"/>
  <c r="R23" i="108" s="1"/>
  <c r="R24" i="108"/>
  <c r="O61" i="108" l="1"/>
  <c r="R12" i="108"/>
  <c r="R20" i="108" s="1"/>
  <c r="R29" i="108"/>
  <c r="P61" i="108"/>
  <c r="Q57" i="108"/>
  <c r="Q68" i="108" s="1"/>
  <c r="Q70" i="108" s="1"/>
  <c r="R31" i="108" l="1"/>
  <c r="R43" i="108" s="1"/>
  <c r="Q61" i="108"/>
  <c r="R57" i="108" l="1"/>
  <c r="R68" i="108" s="1"/>
  <c r="R70" i="108" s="1"/>
  <c r="R67" i="108"/>
  <c r="R71" i="108" s="1"/>
  <c r="R61" i="108" l="1"/>
  <c r="AK81" i="94"/>
  <c r="AK80" i="94" s="1"/>
  <c r="AK72" i="94" s="1"/>
  <c r="AK2" i="94" s="1"/>
  <c r="M42" i="102" l="1"/>
  <c r="N42" i="102" s="1"/>
  <c r="M41" i="102"/>
  <c r="N41" i="102" s="1"/>
  <c r="N48" i="102" s="1"/>
  <c r="N53" i="102" l="1"/>
  <c r="J19" i="29"/>
  <c r="J23" i="29" s="1"/>
  <c r="P48" i="102"/>
  <c r="P53" i="102" l="1"/>
  <c r="AI19" i="29"/>
  <c r="AI23" i="29" l="1"/>
  <c r="E4" i="103" s="1"/>
  <c r="D66" i="108"/>
  <c r="D73" i="108" s="1"/>
  <c r="E73" i="108" s="1"/>
  <c r="F73" i="108" s="1"/>
  <c r="G73" i="108" s="1"/>
  <c r="H73" i="10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George, Ryan@HCD</author>
    <author>Agutierrez</author>
  </authors>
  <commentList>
    <comment ref="AK3" authorId="0" shapeId="0" xr:uid="{16F6E8DD-1C85-4B32-8BB2-554A41B76ACE}">
      <text>
        <r>
          <rPr>
            <sz val="9"/>
            <color indexed="81"/>
            <rFont val="Tahoma"/>
            <family val="2"/>
          </rPr>
          <t xml:space="preserve">If cell is shaded red critical threshold item was not met.
</t>
        </r>
      </text>
    </comment>
    <comment ref="A43" authorId="1" shapeId="0" xr:uid="{EA0B727C-F6A8-49F5-AB97-91A53DA9F58A}">
      <text>
        <r>
          <rPr>
            <sz val="9"/>
            <color indexed="81"/>
            <rFont val="Tahoma"/>
            <family val="2"/>
          </rPr>
          <t>Spell out complete HCD program name.</t>
        </r>
      </text>
    </comment>
    <comment ref="AK53" authorId="0" shapeId="0" xr:uid="{A43798A2-2BD1-4C81-9856-8F478D849C53}">
      <text>
        <r>
          <rPr>
            <sz val="9"/>
            <color indexed="81"/>
            <rFont val="Tahoma"/>
            <family val="2"/>
          </rPr>
          <t xml:space="preserve">If cell is shaded red critical threshold item was not met.
</t>
        </r>
      </text>
    </comment>
    <comment ref="AK54" authorId="0" shapeId="0" xr:uid="{A7D54C92-7D91-4E46-AEA5-D36CB4B050D3}">
      <text>
        <r>
          <rPr>
            <sz val="9"/>
            <color indexed="81"/>
            <rFont val="Tahoma"/>
            <family val="2"/>
          </rPr>
          <t xml:space="preserve">If cell is shaded red critical threshold item was not met.
</t>
        </r>
      </text>
    </comment>
    <comment ref="AK55" authorId="0" shapeId="0" xr:uid="{19C6702F-0B35-4B8C-A6F1-25FC90656B71}">
      <text>
        <r>
          <rPr>
            <sz val="9"/>
            <color indexed="81"/>
            <rFont val="Tahoma"/>
            <family val="2"/>
          </rPr>
          <t xml:space="preserve">If cell is shaded red critical threshold item was not met.
</t>
        </r>
      </text>
    </comment>
    <comment ref="AK62" authorId="0" shapeId="0" xr:uid="{D3F064BA-3887-4827-B499-CEEB5679E5E3}">
      <text>
        <r>
          <rPr>
            <sz val="9"/>
            <color indexed="81"/>
            <rFont val="Tahoma"/>
            <family val="2"/>
          </rPr>
          <t xml:space="preserve">If cell is shaded red critical threshold item was not met.
</t>
        </r>
      </text>
    </comment>
    <comment ref="AK63" authorId="0" shapeId="0" xr:uid="{2F5A14A5-2CEA-4ECC-911D-3EFB9377F46B}">
      <text>
        <r>
          <rPr>
            <sz val="9"/>
            <color indexed="81"/>
            <rFont val="Tahoma"/>
            <family val="2"/>
          </rPr>
          <t xml:space="preserve">If cell is shaded red critical threshold item was not met.
</t>
        </r>
      </text>
    </comment>
    <comment ref="AK64" authorId="0" shapeId="0" xr:uid="{415FAE11-D426-4859-B346-3405F7E732DA}">
      <text>
        <r>
          <rPr>
            <sz val="9"/>
            <color indexed="81"/>
            <rFont val="Tahoma"/>
            <family val="2"/>
          </rPr>
          <t xml:space="preserve">If cell is shaded red critical threshold item was not met.
</t>
        </r>
      </text>
    </comment>
    <comment ref="AK65" authorId="0" shapeId="0" xr:uid="{7E140202-3604-4BC5-B38A-9A706588017F}">
      <text>
        <r>
          <rPr>
            <sz val="9"/>
            <color indexed="81"/>
            <rFont val="Tahoma"/>
            <family val="2"/>
          </rPr>
          <t xml:space="preserve">If cell is shaded red critical threshold item was not met.
</t>
        </r>
      </text>
    </comment>
    <comment ref="AK66" authorId="0" shapeId="0" xr:uid="{4542AEC2-4569-4CFA-8A84-3849E62EB9D8}">
      <text>
        <r>
          <rPr>
            <sz val="9"/>
            <color indexed="81"/>
            <rFont val="Tahoma"/>
            <family val="2"/>
          </rPr>
          <t xml:space="preserve">If cell is shaded red critical threshold item was not met.
</t>
        </r>
      </text>
    </comment>
    <comment ref="AK67" authorId="0" shapeId="0" xr:uid="{BA772422-9A6E-4501-A638-09D1E0D9C6EA}">
      <text>
        <r>
          <rPr>
            <sz val="9"/>
            <color indexed="81"/>
            <rFont val="Tahoma"/>
            <family val="2"/>
          </rPr>
          <t xml:space="preserve">If cell is shaded red critical threshold item was not met.
</t>
        </r>
      </text>
    </comment>
    <comment ref="AK68" authorId="0" shapeId="0" xr:uid="{5920A27F-A3C5-40BD-AA7A-E2335B7CB99C}">
      <text>
        <r>
          <rPr>
            <sz val="9"/>
            <color indexed="81"/>
            <rFont val="Tahoma"/>
            <family val="2"/>
          </rPr>
          <t xml:space="preserve">If cell is shaded red critical threshold item was not met.
</t>
        </r>
      </text>
    </comment>
    <comment ref="AK69" authorId="0" shapeId="0" xr:uid="{733889AF-9333-47F8-BC05-212D820348C6}">
      <text>
        <r>
          <rPr>
            <sz val="9"/>
            <color indexed="81"/>
            <rFont val="Tahoma"/>
            <family val="2"/>
          </rPr>
          <t xml:space="preserve">If cell is shaded red critical threshold item was not met.
</t>
        </r>
      </text>
    </comment>
    <comment ref="AK70" authorId="0" shapeId="0" xr:uid="{E5DDD20C-B50B-4315-BD15-DFD2991C947A}">
      <text>
        <r>
          <rPr>
            <sz val="9"/>
            <color indexed="81"/>
            <rFont val="Tahoma"/>
            <family val="2"/>
          </rPr>
          <t xml:space="preserve">If cell is shaded red critical threshold item was not met.
</t>
        </r>
      </text>
    </comment>
    <comment ref="AK77" authorId="0" shapeId="0" xr:uid="{89D7290E-FD58-4446-ABC1-93579D2561CA}">
      <text>
        <r>
          <rPr>
            <sz val="9"/>
            <color indexed="81"/>
            <rFont val="Tahoma"/>
            <family val="2"/>
          </rPr>
          <t xml:space="preserve">If cell is shaded red critical threshold item was not met.
</t>
        </r>
      </text>
    </comment>
    <comment ref="AK78" authorId="0" shapeId="0" xr:uid="{6630E30D-CAC0-4760-9B59-E1062D0E7AAF}">
      <text>
        <r>
          <rPr>
            <sz val="9"/>
            <color indexed="81"/>
            <rFont val="Tahoma"/>
            <family val="2"/>
          </rPr>
          <t xml:space="preserve">If cell is shaded red critical threshold item was not met.
</t>
        </r>
      </text>
    </comment>
    <comment ref="AK79" authorId="0" shapeId="0" xr:uid="{A8EE2128-5CF5-4D3E-8377-7D6A1CD2C297}">
      <text>
        <r>
          <rPr>
            <sz val="9"/>
            <color indexed="81"/>
            <rFont val="Tahoma"/>
            <family val="2"/>
          </rPr>
          <t xml:space="preserve">If cell is shaded red critical threshold item was not met.
</t>
        </r>
      </text>
    </comment>
    <comment ref="AK80" authorId="0" shapeId="0" xr:uid="{DFBC172A-416B-4ED2-81C5-CA50E0B3F186}">
      <text>
        <r>
          <rPr>
            <sz val="9"/>
            <color indexed="81"/>
            <rFont val="Tahoma"/>
            <family val="2"/>
          </rPr>
          <t xml:space="preserve">If cell is shaded red critical threshold item was not met.
</t>
        </r>
      </text>
    </comment>
    <comment ref="AK81" authorId="0" shapeId="0" xr:uid="{10747409-ADD5-4AB2-B146-38095608F0D8}">
      <text>
        <r>
          <rPr>
            <sz val="9"/>
            <color indexed="81"/>
            <rFont val="Tahoma"/>
            <family val="2"/>
          </rPr>
          <t xml:space="preserve">If cell is shaded red critical threshold item was not met.
</t>
        </r>
      </text>
    </comment>
    <comment ref="AK82" authorId="0" shapeId="0" xr:uid="{0CA3A974-1504-4D6D-A476-104DDD7ACD1E}">
      <text>
        <r>
          <rPr>
            <sz val="9"/>
            <color indexed="81"/>
            <rFont val="Tahoma"/>
            <family val="2"/>
          </rPr>
          <t xml:space="preserve">If cell is shaded red critical threshold item was not met.
</t>
        </r>
      </text>
    </comment>
    <comment ref="AK83" authorId="0" shapeId="0" xr:uid="{8007D682-961C-4C85-BA22-E61F2DAE5AD0}">
      <text>
        <r>
          <rPr>
            <sz val="9"/>
            <color indexed="81"/>
            <rFont val="Tahoma"/>
            <family val="2"/>
          </rPr>
          <t xml:space="preserve">If cell is shaded red critical threshold item was not met.
</t>
        </r>
      </text>
    </comment>
    <comment ref="AK84" authorId="0" shapeId="0" xr:uid="{60C36DA5-8C5A-4783-B8CA-51904625A593}">
      <text>
        <r>
          <rPr>
            <sz val="9"/>
            <color indexed="81"/>
            <rFont val="Tahoma"/>
            <family val="2"/>
          </rPr>
          <t xml:space="preserve">If cell is shaded red critical threshold item was not met.
</t>
        </r>
      </text>
    </comment>
    <comment ref="AK85" authorId="0" shapeId="0" xr:uid="{9AD4911D-A874-4D9E-B6A2-C7BBCC802ADE}">
      <text>
        <r>
          <rPr>
            <sz val="9"/>
            <color indexed="81"/>
            <rFont val="Tahoma"/>
            <family val="2"/>
          </rPr>
          <t xml:space="preserve">If cell is shaded red critical threshold item was not met.
</t>
        </r>
      </text>
    </comment>
    <comment ref="AK120" authorId="0" shapeId="0" xr:uid="{D9599656-0CA2-4FD2-91C0-D06816F36A5B}">
      <text>
        <r>
          <rPr>
            <sz val="9"/>
            <color indexed="81"/>
            <rFont val="Tahoma"/>
            <family val="2"/>
          </rPr>
          <t xml:space="preserve">If cell is shaded red critical threshold item was not met.
</t>
        </r>
      </text>
    </comment>
    <comment ref="AK121" authorId="0" shapeId="0" xr:uid="{1E2D3EA2-C106-40E5-94B1-00DF9C547395}">
      <text>
        <r>
          <rPr>
            <sz val="9"/>
            <color indexed="81"/>
            <rFont val="Tahoma"/>
            <family val="2"/>
          </rPr>
          <t xml:space="preserve">If cell is shaded red critical threshold item was not met.
</t>
        </r>
      </text>
    </comment>
    <comment ref="AK123" authorId="0" shapeId="0" xr:uid="{D1496BA8-F056-491C-ABC8-D8347198EE16}">
      <text>
        <r>
          <rPr>
            <sz val="9"/>
            <color indexed="81"/>
            <rFont val="Tahoma"/>
            <family val="2"/>
          </rPr>
          <t xml:space="preserve">If cell is shaded red critical threshold item was not met.
</t>
        </r>
      </text>
    </comment>
    <comment ref="AK127" authorId="0" shapeId="0" xr:uid="{42A23FD3-7848-48B0-BB0D-ED957A784F94}">
      <text>
        <r>
          <rPr>
            <sz val="9"/>
            <color indexed="81"/>
            <rFont val="Tahoma"/>
            <family val="2"/>
          </rPr>
          <t xml:space="preserve">If cell is shaded red critical threshold item was not met.
</t>
        </r>
      </text>
    </comment>
    <comment ref="AK139" authorId="0" shapeId="0" xr:uid="{F1C2102D-A4A0-4AEE-8280-0FEFCAEE770E}">
      <text>
        <r>
          <rPr>
            <sz val="9"/>
            <color indexed="81"/>
            <rFont val="Tahoma"/>
            <family val="2"/>
          </rPr>
          <t xml:space="preserve">If cell is shaded red critical threshold item was not met.
</t>
        </r>
      </text>
    </comment>
    <comment ref="AK142" authorId="0" shapeId="0" xr:uid="{F7A90CFC-6A44-479F-A530-FD31D3B66CA7}">
      <text>
        <r>
          <rPr>
            <sz val="9"/>
            <color indexed="81"/>
            <rFont val="Tahoma"/>
            <family val="2"/>
          </rPr>
          <t xml:space="preserve">If cell is shaded red critical threshold item was not met.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Rodine, George@HCD</author>
    <author>George, Ryan@HCD</author>
    <author>rnrgr</author>
    <author>George Rodine</author>
  </authors>
  <commentList>
    <comment ref="AK2" authorId="0" shapeId="0" xr:uid="{7321F077-4EBC-43EB-A318-4B4FE65C0F83}">
      <text>
        <r>
          <rPr>
            <b/>
            <sz val="9"/>
            <color indexed="81"/>
            <rFont val="Tahoma"/>
            <family val="2"/>
          </rPr>
          <t>If cell is shaded red, the Project does not meet the minimum point score of 120.</t>
        </r>
        <r>
          <rPr>
            <sz val="9"/>
            <color indexed="81"/>
            <rFont val="Tahoma"/>
            <family val="2"/>
          </rPr>
          <t xml:space="preserve">
</t>
        </r>
      </text>
    </comment>
    <comment ref="A29" authorId="0" shapeId="0" xr:uid="{ED0B8741-945B-4CFF-B427-D4E1A185213A}">
      <text>
        <r>
          <rPr>
            <b/>
            <sz val="9"/>
            <color indexed="81"/>
            <rFont val="Tahoma"/>
            <family val="2"/>
          </rPr>
          <t>From 'Award, Match, and Revenue' worksheet cell M3</t>
        </r>
        <r>
          <rPr>
            <sz val="9"/>
            <color indexed="81"/>
            <rFont val="Tahoma"/>
            <family val="2"/>
          </rPr>
          <t xml:space="preserve">
</t>
        </r>
      </text>
    </comment>
    <comment ref="A30" authorId="0" shapeId="0" xr:uid="{9926AD50-1058-4F04-BE18-94E888195EB9}">
      <text>
        <r>
          <rPr>
            <b/>
            <sz val="9"/>
            <color indexed="81"/>
            <rFont val="Tahoma"/>
            <family val="2"/>
          </rPr>
          <t>From 'Award, Match, and Revenue' worksheet cell O3</t>
        </r>
        <r>
          <rPr>
            <sz val="9"/>
            <color indexed="81"/>
            <rFont val="Tahoma"/>
            <family val="2"/>
          </rPr>
          <t xml:space="preserve">
</t>
        </r>
      </text>
    </comment>
    <comment ref="A31" authorId="0" shapeId="0" xr:uid="{F170F0C5-7E54-485F-A14A-262D41CE777F}">
      <text>
        <r>
          <rPr>
            <b/>
            <sz val="9"/>
            <color indexed="81"/>
            <rFont val="Tahoma"/>
            <family val="2"/>
          </rPr>
          <t>From 'Operating' worksheet cell C38</t>
        </r>
        <r>
          <rPr>
            <sz val="9"/>
            <color indexed="81"/>
            <rFont val="Tahoma"/>
            <family val="2"/>
          </rPr>
          <t xml:space="preserve">
</t>
        </r>
      </text>
    </comment>
    <comment ref="A32" authorId="0" shapeId="0" xr:uid="{E80C06EE-BE40-42A0-8B06-AF78348F5975}">
      <text>
        <r>
          <rPr>
            <b/>
            <sz val="9"/>
            <color indexed="81"/>
            <rFont val="Tahoma"/>
            <family val="2"/>
          </rPr>
          <t xml:space="preserve">From 'Operating' worksheet cell C39
</t>
        </r>
        <r>
          <rPr>
            <sz val="9"/>
            <color indexed="81"/>
            <rFont val="Tahoma"/>
            <family val="2"/>
          </rPr>
          <t xml:space="preserve">
</t>
        </r>
      </text>
    </comment>
    <comment ref="AK33" authorId="1" shapeId="0" xr:uid="{771697E5-0BB7-48FA-B42A-BD6F973F1309}">
      <text>
        <r>
          <rPr>
            <sz val="9"/>
            <color indexed="81"/>
            <rFont val="Tahoma"/>
            <family val="2"/>
          </rPr>
          <t xml:space="preserve">If cell is shaded red critical scoring item was not met.
</t>
        </r>
      </text>
    </comment>
    <comment ref="AK34" authorId="1" shapeId="0" xr:uid="{B407DD3F-A571-4147-A4FF-8ED5030E320C}">
      <text>
        <r>
          <rPr>
            <sz val="9"/>
            <color indexed="81"/>
            <rFont val="Tahoma"/>
            <family val="2"/>
          </rPr>
          <t xml:space="preserve">If cell is shaded red critical scoring item was not met.
</t>
        </r>
      </text>
    </comment>
    <comment ref="AK35" authorId="1" shapeId="0" xr:uid="{D58CCBB0-28F6-4551-B9A3-B8C484C507B2}">
      <text>
        <r>
          <rPr>
            <sz val="9"/>
            <color indexed="81"/>
            <rFont val="Tahoma"/>
            <family val="2"/>
          </rPr>
          <t xml:space="preserve">If cell is shaded red critical scoring item was not met.
</t>
        </r>
      </text>
    </comment>
    <comment ref="AK36" authorId="1" shapeId="0" xr:uid="{42851A6F-92DE-4BB8-808C-31DBC96A6D32}">
      <text>
        <r>
          <rPr>
            <sz val="9"/>
            <color indexed="81"/>
            <rFont val="Tahoma"/>
            <family val="2"/>
          </rPr>
          <t xml:space="preserve">If cell is shaded red critical scoring item was not met.
</t>
        </r>
      </text>
    </comment>
    <comment ref="AJ40" authorId="0" shapeId="0" xr:uid="{05C3CF1B-14AC-4576-8137-9BD924678B3E}">
      <text>
        <r>
          <rPr>
            <b/>
            <sz val="9"/>
            <color indexed="81"/>
            <rFont val="Tahoma"/>
            <family val="2"/>
          </rPr>
          <t>Enter the most recent date the project was developed, owned or operated.</t>
        </r>
        <r>
          <rPr>
            <sz val="9"/>
            <color indexed="81"/>
            <rFont val="Tahoma"/>
            <family val="2"/>
          </rPr>
          <t xml:space="preserve">
</t>
        </r>
      </text>
    </comment>
    <comment ref="AC41" authorId="2" shapeId="0" xr:uid="{CE41797A-D874-409C-BCC5-A247D1FAA98E}">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J43" authorId="0" shapeId="0" xr:uid="{8C9F02EC-52B2-4FA0-A842-8DB28B06F068}">
      <text>
        <r>
          <rPr>
            <b/>
            <sz val="9"/>
            <color indexed="81"/>
            <rFont val="Tahoma"/>
            <family val="2"/>
          </rPr>
          <t>Enter the most recent date the project was developed, owned or operated.</t>
        </r>
        <r>
          <rPr>
            <sz val="9"/>
            <color indexed="81"/>
            <rFont val="Tahoma"/>
            <family val="2"/>
          </rPr>
          <t xml:space="preserve">
</t>
        </r>
      </text>
    </comment>
    <comment ref="AC44" authorId="2" shapeId="0" xr:uid="{1283E6F5-8242-4F64-8FB8-F890A72FB0E5}">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45" authorId="2" shapeId="0" xr:uid="{5D6DC39E-7584-446B-8FC9-F864871518B1}">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47" authorId="2" shapeId="0" xr:uid="{9A1E3F25-8841-465A-A534-BC620D02A804}">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48" authorId="2" shapeId="0" xr:uid="{F482A740-4245-4356-9B46-2D56CDFAA725}">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A49" authorId="2" shapeId="0" xr:uid="{D60BA0DD-CD2F-467F-9029-4621610988BA}">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49" authorId="2" shapeId="0" xr:uid="{1A8DEEF1-74B6-4200-94D4-314EC919830A}">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52" authorId="2" shapeId="0" xr:uid="{D5C23DA6-2272-48AF-8E00-A5D433AC5550}">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53" authorId="2" shapeId="0" xr:uid="{0E3B69E5-2078-4742-9CE9-8B2BF185AA8D}">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54" authorId="2" shapeId="0" xr:uid="{D5901B26-1EF7-4906-806A-9253065FBEBC}">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55" authorId="2" shapeId="0" xr:uid="{219E2090-3C0E-478E-97F5-646AACDF3CAB}">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56" authorId="2" shapeId="0" xr:uid="{104E96BC-1C36-492A-9CC3-F6AA6F858D1F}">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57" authorId="2" shapeId="0" xr:uid="{9EB595A1-1FDE-4C19-AC31-F6A96947F0EF}">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58" authorId="2" shapeId="0" xr:uid="{2751B07A-861B-4650-B883-23C5F4AA66B5}">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59" authorId="2" shapeId="0" xr:uid="{13503A42-7049-4455-ACB3-D907EEFA0F04}">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60" authorId="2" shapeId="0" xr:uid="{E04BDA4F-5DAB-40F6-88F6-1B834A8144CF}">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61" authorId="2" shapeId="0" xr:uid="{E09FB3D5-2B86-482A-9F8A-6035E79EDC24}">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62" authorId="2" shapeId="0" xr:uid="{D18E2118-792D-40C1-A385-4D6A5128D1A8}">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63" authorId="2" shapeId="0" xr:uid="{4993AFAF-5993-405A-99A3-A078232C57B9}">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K68" authorId="3" shapeId="0" xr:uid="{09AE8ABA-7FDE-4876-AFE4-0034C2006EA1}">
      <text>
        <r>
          <rPr>
            <b/>
            <sz val="9"/>
            <color indexed="81"/>
            <rFont val="Tahoma"/>
            <family val="2"/>
          </rPr>
          <t>For HCD Use Only</t>
        </r>
        <r>
          <rPr>
            <sz val="9"/>
            <color indexed="81"/>
            <rFont val="Tahoma"/>
            <family val="2"/>
          </rPr>
          <t xml:space="preserve">
</t>
        </r>
      </text>
    </comment>
    <comment ref="AK70" authorId="3" shapeId="0" xr:uid="{8A8722D2-0140-4FBE-9097-1BDB58C87F94}">
      <text>
        <r>
          <rPr>
            <b/>
            <sz val="9"/>
            <color indexed="81"/>
            <rFont val="Tahoma"/>
            <family val="2"/>
          </rPr>
          <t>For HCD Use Only</t>
        </r>
        <r>
          <rPr>
            <sz val="9"/>
            <color indexed="81"/>
            <rFont val="Tahoma"/>
            <family val="2"/>
          </rPr>
          <t xml:space="preserve">
</t>
        </r>
      </text>
    </comment>
    <comment ref="AK77" authorId="0" shapeId="0" xr:uid="{5568C3A5-4CF3-4E5C-B824-47996B959F25}">
      <text>
        <r>
          <rPr>
            <b/>
            <sz val="9"/>
            <color indexed="81"/>
            <rFont val="Tahoma"/>
            <family val="2"/>
          </rPr>
          <t>Project must have at least 20 units to qualify for these points.</t>
        </r>
        <r>
          <rPr>
            <sz val="9"/>
            <color indexed="81"/>
            <rFont val="Tahoma"/>
            <family val="2"/>
          </rPr>
          <t xml:space="preserve">
</t>
        </r>
      </text>
    </comment>
    <comment ref="AK78" authorId="0" shapeId="0" xr:uid="{5E08A1A3-913C-494E-8F99-592041B1AFCA}">
      <text>
        <r>
          <rPr>
            <b/>
            <sz val="9"/>
            <color indexed="81"/>
            <rFont val="Tahoma"/>
            <family val="2"/>
          </rPr>
          <t>Project must have at least 20 units to qualify for these points.</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George, Ryan@HCD</author>
  </authors>
  <commentList>
    <comment ref="AK4" authorId="0" shapeId="0" xr:uid="{0E6A3E71-183E-44A4-A1E2-34E5DE55BBA5}">
      <text>
        <r>
          <rPr>
            <sz val="9"/>
            <color indexed="81"/>
            <rFont val="Tahoma"/>
            <family val="2"/>
          </rPr>
          <t xml:space="preserve">If cell is shaded red critical threshold item was not met.
</t>
        </r>
      </text>
    </comment>
    <comment ref="AK5" authorId="0" shapeId="0" xr:uid="{283F2312-DE8D-4CCF-9CC2-D46DF0E1C71C}">
      <text>
        <r>
          <rPr>
            <sz val="9"/>
            <color indexed="81"/>
            <rFont val="Tahoma"/>
            <family val="2"/>
          </rPr>
          <t xml:space="preserve">If cell is shaded red critical threshold item was not met.
</t>
        </r>
      </text>
    </comment>
    <comment ref="AK6" authorId="0" shapeId="0" xr:uid="{ADA6796C-8F9C-4A2E-9B98-FC2DBB8292BC}">
      <text>
        <r>
          <rPr>
            <sz val="9"/>
            <color indexed="81"/>
            <rFont val="Tahoma"/>
            <family val="2"/>
          </rPr>
          <t xml:space="preserve">If cell is shaded red critical threshold item was not met.
</t>
        </r>
      </text>
    </comment>
    <comment ref="AK7" authorId="0" shapeId="0" xr:uid="{21B1F49E-FC26-4639-8374-375F5EDD4CEC}">
      <text>
        <r>
          <rPr>
            <sz val="9"/>
            <color indexed="81"/>
            <rFont val="Tahoma"/>
            <family val="2"/>
          </rPr>
          <t xml:space="preserve">If cell is shaded red critical threshold item was not met.
</t>
        </r>
      </text>
    </comment>
    <comment ref="AK8" authorId="0" shapeId="0" xr:uid="{2E91EFBE-00E9-47F8-91B9-EAA40A2FA647}">
      <text>
        <r>
          <rPr>
            <sz val="9"/>
            <color indexed="81"/>
            <rFont val="Tahoma"/>
            <family val="2"/>
          </rPr>
          <t xml:space="preserve">If cell is shaded red critical threshold item was not met.
</t>
        </r>
      </text>
    </comment>
    <comment ref="AK9" authorId="0" shapeId="0" xr:uid="{6EFAFF1C-1FC9-43FC-8B2C-9A420CABF257}">
      <text>
        <r>
          <rPr>
            <sz val="9"/>
            <color indexed="81"/>
            <rFont val="Tahoma"/>
            <family val="2"/>
          </rPr>
          <t xml:space="preserve">If cell is shaded red critical threshold item was not met.
</t>
        </r>
      </text>
    </comment>
    <comment ref="AK10" authorId="0" shapeId="0" xr:uid="{4B993414-CF94-42B2-B504-7D9D6D5EBCFA}">
      <text>
        <r>
          <rPr>
            <sz val="9"/>
            <color indexed="81"/>
            <rFont val="Tahoma"/>
            <family val="2"/>
          </rPr>
          <t xml:space="preserve">If cell is shaded red critical threshold item was not met.
</t>
        </r>
      </text>
    </comment>
    <comment ref="AK11" authorId="0" shapeId="0" xr:uid="{3F9A59A4-14C5-4D91-8D78-30532BCDCC0F}">
      <text>
        <r>
          <rPr>
            <sz val="9"/>
            <color indexed="81"/>
            <rFont val="Tahoma"/>
            <family val="2"/>
          </rPr>
          <t xml:space="preserve">If cell is shaded red critical threshold item was not met.
</t>
        </r>
      </text>
    </comment>
    <comment ref="AK12" authorId="0" shapeId="0" xr:uid="{E13F80F9-123F-4E50-AF5C-B304C7D4FA52}">
      <text>
        <r>
          <rPr>
            <sz val="9"/>
            <color indexed="81"/>
            <rFont val="Tahoma"/>
            <family val="2"/>
          </rPr>
          <t xml:space="preserve">If cell is shaded red critical threshold item was not met.
</t>
        </r>
      </text>
    </comment>
    <comment ref="AK13" authorId="0" shapeId="0" xr:uid="{CFB5084E-322B-4290-8464-5D42CD03AD3F}">
      <text>
        <r>
          <rPr>
            <sz val="9"/>
            <color indexed="81"/>
            <rFont val="Tahoma"/>
            <family val="2"/>
          </rPr>
          <t xml:space="preserve">If cell is shaded red critical threshold item was not met.
</t>
        </r>
      </text>
    </comment>
    <comment ref="AK14" authorId="0" shapeId="0" xr:uid="{08895F18-C93D-468D-9FF3-37C4F515C672}">
      <text>
        <r>
          <rPr>
            <sz val="9"/>
            <color indexed="81"/>
            <rFont val="Tahoma"/>
            <family val="2"/>
          </rPr>
          <t xml:space="preserve">If cell is shaded red critical threshold item was not met.
</t>
        </r>
      </text>
    </comment>
    <comment ref="AK15" authorId="0" shapeId="0" xr:uid="{A2E0E7C6-F89F-4B4E-B657-D16B91216286}">
      <text>
        <r>
          <rPr>
            <sz val="9"/>
            <color indexed="81"/>
            <rFont val="Tahoma"/>
            <family val="2"/>
          </rPr>
          <t xml:space="preserve">If cell is shaded red critical threshold item was not met.
</t>
        </r>
      </text>
    </comment>
    <comment ref="AK16" authorId="0" shapeId="0" xr:uid="{26504BCD-CBE4-4960-A827-729C81635DC9}">
      <text>
        <r>
          <rPr>
            <sz val="9"/>
            <color indexed="81"/>
            <rFont val="Tahoma"/>
            <family val="2"/>
          </rPr>
          <t xml:space="preserve">If cell is shaded red critical threshold item was not met.
</t>
        </r>
      </text>
    </comment>
    <comment ref="AK17" authorId="0" shapeId="0" xr:uid="{D214DC93-85FC-47D8-B1AF-F94B7B8C9A7D}">
      <text>
        <r>
          <rPr>
            <sz val="9"/>
            <color indexed="81"/>
            <rFont val="Tahoma"/>
            <family val="2"/>
          </rPr>
          <t xml:space="preserve">If cell is shaded red critical threshold item was not met.
</t>
        </r>
      </text>
    </comment>
    <comment ref="AK18" authorId="0" shapeId="0" xr:uid="{548F4BD6-3699-499A-862F-4047C7D0984D}">
      <text>
        <r>
          <rPr>
            <sz val="9"/>
            <color indexed="81"/>
            <rFont val="Tahoma"/>
            <family val="2"/>
          </rPr>
          <t xml:space="preserve">If cell is shaded red critical threshold item was not met.
</t>
        </r>
      </text>
    </comment>
    <comment ref="AK19" authorId="0" shapeId="0" xr:uid="{A01CD82F-896B-45B6-A737-CDBF321C4E01}">
      <text>
        <r>
          <rPr>
            <sz val="9"/>
            <color indexed="81"/>
            <rFont val="Tahoma"/>
            <family val="2"/>
          </rPr>
          <t xml:space="preserve">If cell is shaded red critical threshold item was not met.
</t>
        </r>
      </text>
    </comment>
    <comment ref="AK20" authorId="0" shapeId="0" xr:uid="{626B5A84-3D6A-429E-AE3F-699BD4347770}">
      <text>
        <r>
          <rPr>
            <sz val="9"/>
            <color indexed="81"/>
            <rFont val="Tahoma"/>
            <family val="2"/>
          </rPr>
          <t xml:space="preserve">If cell is shaded red critical threshold item was not met.
</t>
        </r>
      </text>
    </comment>
    <comment ref="AK21" authorId="0" shapeId="0" xr:uid="{277C144E-CF68-4474-95CC-60A059BA9279}">
      <text>
        <r>
          <rPr>
            <sz val="9"/>
            <color indexed="81"/>
            <rFont val="Tahoma"/>
            <family val="2"/>
          </rPr>
          <t xml:space="preserve">If cell is shaded red critical threshold item was not met.
</t>
        </r>
      </text>
    </comment>
    <comment ref="AK22" authorId="0" shapeId="0" xr:uid="{4E89842A-30D4-450D-9A5B-54FDACCAE7A1}">
      <text>
        <r>
          <rPr>
            <sz val="9"/>
            <color indexed="81"/>
            <rFont val="Tahoma"/>
            <family val="2"/>
          </rPr>
          <t xml:space="preserve">If cell is shaded red critical threshold item was not met.
</t>
        </r>
      </text>
    </comment>
    <comment ref="AK23" authorId="0" shapeId="0" xr:uid="{B53DFE1D-245A-4F5D-82F6-923624ADA0EC}">
      <text>
        <r>
          <rPr>
            <sz val="9"/>
            <color indexed="81"/>
            <rFont val="Tahoma"/>
            <family val="2"/>
          </rPr>
          <t xml:space="preserve">If cell is shaded red critical threshold item was not met.
</t>
        </r>
      </text>
    </comment>
    <comment ref="AK24" authorId="0" shapeId="0" xr:uid="{798D97B4-6480-407D-88A3-CF8D58F8EFE2}">
      <text>
        <r>
          <rPr>
            <sz val="9"/>
            <color indexed="81"/>
            <rFont val="Tahoma"/>
            <family val="2"/>
          </rPr>
          <t xml:space="preserve">If cell is shaded red critical threshold item was not met.
</t>
        </r>
      </text>
    </comment>
    <comment ref="AK25" authorId="0" shapeId="0" xr:uid="{F3C329B1-DF7B-4EF2-824B-485D109AA30A}">
      <text>
        <r>
          <rPr>
            <sz val="9"/>
            <color indexed="81"/>
            <rFont val="Tahoma"/>
            <family val="2"/>
          </rPr>
          <t xml:space="preserve">If cell is shaded red critical threshold item was not met.
</t>
        </r>
      </text>
    </comment>
    <comment ref="AK26" authorId="0" shapeId="0" xr:uid="{A9BEF5E5-6D0B-4F38-A8EF-A0DF9AF8CEDF}">
      <text>
        <r>
          <rPr>
            <sz val="9"/>
            <color indexed="81"/>
            <rFont val="Tahoma"/>
            <family val="2"/>
          </rPr>
          <t xml:space="preserve">If cell is shaded red critical threshold item was not met.
</t>
        </r>
      </text>
    </comment>
    <comment ref="AK27" authorId="0" shapeId="0" xr:uid="{21EED8B2-606A-431B-9B44-1BC4DEC33781}">
      <text>
        <r>
          <rPr>
            <sz val="9"/>
            <color indexed="81"/>
            <rFont val="Tahoma"/>
            <family val="2"/>
          </rPr>
          <t xml:space="preserve">If cell is shaded red critical threshold item was not met.
</t>
        </r>
      </text>
    </comment>
    <comment ref="AK28" authorId="0" shapeId="0" xr:uid="{476A0A3F-2B2A-420D-83EE-0BB16820BAF4}">
      <text>
        <r>
          <rPr>
            <sz val="9"/>
            <color indexed="81"/>
            <rFont val="Tahoma"/>
            <family val="2"/>
          </rPr>
          <t xml:space="preserve">If cell is shaded red critical threshold item was not met.
</t>
        </r>
      </text>
    </comment>
    <comment ref="AK29" authorId="0" shapeId="0" xr:uid="{F09F7257-3613-43B5-B096-C996FC94731B}">
      <text>
        <r>
          <rPr>
            <sz val="9"/>
            <color indexed="81"/>
            <rFont val="Tahoma"/>
            <family val="2"/>
          </rPr>
          <t xml:space="preserve">If cell is shaded red critical threshold item was not met.
</t>
        </r>
      </text>
    </comment>
    <comment ref="AK31" authorId="0" shapeId="0" xr:uid="{1AD2BF3C-35CD-4CEC-A970-D6DC31FCD856}">
      <text>
        <r>
          <rPr>
            <sz val="9"/>
            <color indexed="81"/>
            <rFont val="Tahoma"/>
            <family val="2"/>
          </rPr>
          <t xml:space="preserve">If cell is shaded red critical threshold item was not met.
</t>
        </r>
      </text>
    </comment>
    <comment ref="AK32" authorId="0" shapeId="0" xr:uid="{10A89B69-3DBC-4F1B-BABC-DB719B80455C}">
      <text>
        <r>
          <rPr>
            <sz val="9"/>
            <color indexed="81"/>
            <rFont val="Tahoma"/>
            <family val="2"/>
          </rPr>
          <t xml:space="preserve">If cell is shaded red critical threshold item was not met.
</t>
        </r>
      </text>
    </comment>
    <comment ref="AK33" authorId="0" shapeId="0" xr:uid="{A8E4E094-3E61-477B-BBC5-E2D5AC52A6E5}">
      <text>
        <r>
          <rPr>
            <sz val="9"/>
            <color indexed="81"/>
            <rFont val="Tahoma"/>
            <family val="2"/>
          </rPr>
          <t xml:space="preserve">If cell is shaded red critical threshold item was not met.
</t>
        </r>
      </text>
    </comment>
    <comment ref="AK34" authorId="0" shapeId="0" xr:uid="{5E56560A-7539-4A41-AF83-B840EE5D64A1}">
      <text>
        <r>
          <rPr>
            <sz val="9"/>
            <color indexed="81"/>
            <rFont val="Tahoma"/>
            <family val="2"/>
          </rPr>
          <t xml:space="preserve">If cell is shaded red critical threshold item was not met.
</t>
        </r>
      </text>
    </comment>
    <comment ref="AK35" authorId="0" shapeId="0" xr:uid="{2FE286E1-5363-42A2-9EC4-7C884D055917}">
      <text>
        <r>
          <rPr>
            <sz val="9"/>
            <color indexed="81"/>
            <rFont val="Tahoma"/>
            <family val="2"/>
          </rPr>
          <t xml:space="preserve">If cell is shaded red critical threshold item was not met.
</t>
        </r>
      </text>
    </comment>
    <comment ref="AK36" authorId="0" shapeId="0" xr:uid="{8B53DC2B-74C4-4CBE-8633-0DBB620005F1}">
      <text>
        <r>
          <rPr>
            <sz val="9"/>
            <color indexed="81"/>
            <rFont val="Tahoma"/>
            <family val="2"/>
          </rPr>
          <t xml:space="preserve">If cell is shaded red critical threshold item was not met.
</t>
        </r>
      </text>
    </comment>
    <comment ref="AK37" authorId="0" shapeId="0" xr:uid="{974959C9-3F06-4B05-BF2E-DD3948CD5991}">
      <text>
        <r>
          <rPr>
            <sz val="9"/>
            <color indexed="81"/>
            <rFont val="Tahoma"/>
            <family val="2"/>
          </rPr>
          <t xml:space="preserve">If cell is shaded red critical threshold item was not met.
</t>
        </r>
      </text>
    </comment>
    <comment ref="AK38" authorId="0" shapeId="0" xr:uid="{14DB0A13-B194-412D-8189-10D3A1C463EF}">
      <text>
        <r>
          <rPr>
            <sz val="9"/>
            <color indexed="81"/>
            <rFont val="Tahoma"/>
            <family val="2"/>
          </rPr>
          <t xml:space="preserve">If cell is shaded red critical threshold item was not met.
</t>
        </r>
      </text>
    </comment>
    <comment ref="AK39" authorId="0" shapeId="0" xr:uid="{789E585A-8C6D-47D5-8AED-B85638BEFA89}">
      <text>
        <r>
          <rPr>
            <sz val="9"/>
            <color indexed="81"/>
            <rFont val="Tahoma"/>
            <family val="2"/>
          </rPr>
          <t xml:space="preserve">If cell is shaded red critical threshold item was not met.
</t>
        </r>
      </text>
    </comment>
    <comment ref="AK40" authorId="0" shapeId="0" xr:uid="{5B79EA58-EF62-4A53-BB91-74116BDBF12E}">
      <text>
        <r>
          <rPr>
            <sz val="9"/>
            <color indexed="81"/>
            <rFont val="Tahoma"/>
            <family val="2"/>
          </rPr>
          <t xml:space="preserve">If cell is shaded red critical threshold item was not met.
</t>
        </r>
      </text>
    </comment>
    <comment ref="AK41" authorId="0" shapeId="0" xr:uid="{4A14816D-619E-411A-A07F-7D2A3D7A37CB}">
      <text>
        <r>
          <rPr>
            <sz val="9"/>
            <color indexed="81"/>
            <rFont val="Tahoma"/>
            <family val="2"/>
          </rPr>
          <t xml:space="preserve">If cell is shaded red critical threshold item was not met.
</t>
        </r>
      </text>
    </comment>
    <comment ref="AK42" authorId="0" shapeId="0" xr:uid="{1E781435-A88B-4C99-9DB3-83DDB9929500}">
      <text>
        <r>
          <rPr>
            <sz val="9"/>
            <color indexed="81"/>
            <rFont val="Tahoma"/>
            <family val="2"/>
          </rPr>
          <t xml:space="preserve">If cell is shaded red critical threshold item was not met.
</t>
        </r>
      </text>
    </comment>
    <comment ref="AK43" authorId="0" shapeId="0" xr:uid="{9C4B7314-736E-45D1-8177-9157BCB482A8}">
      <text>
        <r>
          <rPr>
            <sz val="9"/>
            <color indexed="81"/>
            <rFont val="Tahoma"/>
            <family val="2"/>
          </rPr>
          <t xml:space="preserve">If cell is shaded red critical threshold item was not met.
</t>
        </r>
      </text>
    </comment>
    <comment ref="AK44" authorId="0" shapeId="0" xr:uid="{9B72D6AA-0AA7-4961-9A6C-AF04DCB5D68C}">
      <text>
        <r>
          <rPr>
            <sz val="9"/>
            <color indexed="81"/>
            <rFont val="Tahoma"/>
            <family val="2"/>
          </rPr>
          <t xml:space="preserve">If cell is shaded red critical threshold item was not met.
</t>
        </r>
      </text>
    </comment>
    <comment ref="AK45" authorId="0" shapeId="0" xr:uid="{CE0015BA-5A82-454D-8F60-092A5B42D931}">
      <text>
        <r>
          <rPr>
            <sz val="9"/>
            <color indexed="81"/>
            <rFont val="Tahoma"/>
            <family val="2"/>
          </rPr>
          <t xml:space="preserve">If cell is shaded red critical threshold item was not met.
</t>
        </r>
      </text>
    </comment>
    <comment ref="AK46" authorId="0" shapeId="0" xr:uid="{0977F440-FA5F-4170-800F-5F3949F1453F}">
      <text>
        <r>
          <rPr>
            <sz val="9"/>
            <color indexed="81"/>
            <rFont val="Tahoma"/>
            <family val="2"/>
          </rPr>
          <t xml:space="preserve">If cell is shaded red critical threshold item was not met.
</t>
        </r>
      </text>
    </comment>
    <comment ref="AK47" authorId="0" shapeId="0" xr:uid="{EAD1D3BF-7945-4CE8-8375-887064160B9B}">
      <text>
        <r>
          <rPr>
            <sz val="9"/>
            <color indexed="81"/>
            <rFont val="Tahoma"/>
            <family val="2"/>
          </rPr>
          <t xml:space="preserve">If cell is shaded red critical threshold item was not met.
</t>
        </r>
      </text>
    </comment>
    <comment ref="AK48" authorId="0" shapeId="0" xr:uid="{0AB44E61-C900-40CC-BF53-C63685CD448B}">
      <text>
        <r>
          <rPr>
            <sz val="9"/>
            <color indexed="81"/>
            <rFont val="Tahoma"/>
            <family val="2"/>
          </rPr>
          <t xml:space="preserve">If cell is shaded red critical threshold item was not met.
</t>
        </r>
      </text>
    </comment>
    <comment ref="AK49" authorId="0" shapeId="0" xr:uid="{E35DE3EB-4066-4406-BE0C-424859F72113}">
      <text>
        <r>
          <rPr>
            <sz val="9"/>
            <color indexed="81"/>
            <rFont val="Tahoma"/>
            <family val="2"/>
          </rPr>
          <t xml:space="preserve">If cell is shaded red critical threshold item was not met.
</t>
        </r>
      </text>
    </comment>
    <comment ref="AK50" authorId="0" shapeId="0" xr:uid="{0EA9CA48-B365-4610-8BC8-0E356B76253E}">
      <text>
        <r>
          <rPr>
            <sz val="9"/>
            <color indexed="81"/>
            <rFont val="Tahoma"/>
            <family val="2"/>
          </rPr>
          <t xml:space="preserve">If cell is shaded red critical threshold item was not met.
</t>
        </r>
      </text>
    </comment>
    <comment ref="AK52" authorId="0" shapeId="0" xr:uid="{A8AD408A-55C4-4D4F-A144-EAA9AF2E0441}">
      <text>
        <r>
          <rPr>
            <sz val="9"/>
            <color indexed="81"/>
            <rFont val="Tahoma"/>
            <family val="2"/>
          </rPr>
          <t xml:space="preserve">If cell is shaded red critical threshold item was not met.
</t>
        </r>
      </text>
    </comment>
    <comment ref="AK55" authorId="0" shapeId="0" xr:uid="{C94BDD3D-CA19-44F7-9462-2875E1BC5CD4}">
      <text>
        <r>
          <rPr>
            <sz val="9"/>
            <color indexed="81"/>
            <rFont val="Tahoma"/>
            <family val="2"/>
          </rPr>
          <t xml:space="preserve">If cell is shaded red critical threshold item was not met.
</t>
        </r>
      </text>
    </comment>
    <comment ref="AK63" authorId="0" shapeId="0" xr:uid="{4956AF1D-2B58-47ED-999F-10909C3D7CD5}">
      <text>
        <r>
          <rPr>
            <sz val="9"/>
            <color indexed="81"/>
            <rFont val="Tahoma"/>
            <family val="2"/>
          </rPr>
          <t xml:space="preserve">If cell is shaded red critical threshold item was not met.
</t>
        </r>
      </text>
    </comment>
    <comment ref="AK64" authorId="0" shapeId="0" xr:uid="{DA0B728C-65DE-4744-8D87-DE8F77099DC8}">
      <text>
        <r>
          <rPr>
            <sz val="9"/>
            <color indexed="81"/>
            <rFont val="Tahoma"/>
            <family val="2"/>
          </rPr>
          <t xml:space="preserve">If cell is shaded red critical threshold item was not met.
</t>
        </r>
      </text>
    </comment>
    <comment ref="AK65" authorId="0" shapeId="0" xr:uid="{05C81E37-66D5-454B-90E1-3FE9FC70AB2F}">
      <text>
        <r>
          <rPr>
            <sz val="9"/>
            <color indexed="81"/>
            <rFont val="Tahoma"/>
            <family val="2"/>
          </rPr>
          <t xml:space="preserve">If cell is shaded red critical threshold item was not met.
</t>
        </r>
      </text>
    </comment>
    <comment ref="AK66" authorId="0" shapeId="0" xr:uid="{D41C9E2B-3679-4F10-A653-B3DE50C4B4F3}">
      <text>
        <r>
          <rPr>
            <sz val="9"/>
            <color indexed="81"/>
            <rFont val="Tahoma"/>
            <family val="2"/>
          </rPr>
          <t xml:space="preserve">If cell is shaded red critical threshold item was not met.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George, Ryan@HCD</author>
    <author>Rodine, George@HCD</author>
    <author>rnrgr</author>
  </authors>
  <commentList>
    <comment ref="AK4" authorId="0" shapeId="0" xr:uid="{DF264656-29D7-4097-82FC-3F55F805DAA6}">
      <text>
        <r>
          <rPr>
            <sz val="9"/>
            <color indexed="81"/>
            <rFont val="Tahoma"/>
            <family val="2"/>
          </rPr>
          <t xml:space="preserve">If cell is shaded red critical threshold item was not met.
</t>
        </r>
      </text>
    </comment>
    <comment ref="AK5" authorId="0" shapeId="0" xr:uid="{817D2675-6032-4B98-9071-5452FFFF4ED7}">
      <text>
        <r>
          <rPr>
            <sz val="9"/>
            <color indexed="81"/>
            <rFont val="Tahoma"/>
            <family val="2"/>
          </rPr>
          <t xml:space="preserve">If cell is shaded red critical threshold item was not met.
</t>
        </r>
      </text>
    </comment>
    <comment ref="AK6" authorId="0" shapeId="0" xr:uid="{93174828-A38A-4A12-B6AA-59C87F8B1A74}">
      <text>
        <r>
          <rPr>
            <sz val="9"/>
            <color indexed="81"/>
            <rFont val="Tahoma"/>
            <family val="2"/>
          </rPr>
          <t xml:space="preserve">If cell is shaded red critical threshold item was not met.
</t>
        </r>
      </text>
    </comment>
    <comment ref="AK7" authorId="0" shapeId="0" xr:uid="{16DDC640-8C10-48E8-9CD2-FCCE04B928EB}">
      <text>
        <r>
          <rPr>
            <sz val="9"/>
            <color indexed="81"/>
            <rFont val="Tahoma"/>
            <family val="2"/>
          </rPr>
          <t xml:space="preserve">If cell is shaded red critical threshold item was not met.
</t>
        </r>
      </text>
    </comment>
    <comment ref="AK9" authorId="0" shapeId="0" xr:uid="{23AC4D98-D82D-444F-AE70-76DF039CE00E}">
      <text>
        <r>
          <rPr>
            <sz val="9"/>
            <color indexed="81"/>
            <rFont val="Tahoma"/>
            <family val="2"/>
          </rPr>
          <t xml:space="preserve">If cell is shaded red critical threshold item was not met.
</t>
        </r>
      </text>
    </comment>
    <comment ref="AK10" authorId="0" shapeId="0" xr:uid="{0467FFC3-471D-406C-9BAA-35A1534D13D4}">
      <text>
        <r>
          <rPr>
            <sz val="9"/>
            <color indexed="81"/>
            <rFont val="Tahoma"/>
            <family val="2"/>
          </rPr>
          <t xml:space="preserve">If cell is shaded red critical threshold item was not met.
</t>
        </r>
      </text>
    </comment>
    <comment ref="AK11" authorId="0" shapeId="0" xr:uid="{FBB0C6CE-FB80-476C-A35F-8AF41CD239B2}">
      <text>
        <r>
          <rPr>
            <sz val="9"/>
            <color indexed="81"/>
            <rFont val="Tahoma"/>
            <family val="2"/>
          </rPr>
          <t xml:space="preserve">If cell is shaded red critical threshold item was not met.
</t>
        </r>
      </text>
    </comment>
    <comment ref="AK12" authorId="0" shapeId="0" xr:uid="{771DCFE0-17C6-4A9F-B0CB-830032A1B053}">
      <text>
        <r>
          <rPr>
            <sz val="9"/>
            <color indexed="81"/>
            <rFont val="Tahoma"/>
            <family val="2"/>
          </rPr>
          <t xml:space="preserve">If cell is shaded red critical threshold item was not met.
</t>
        </r>
      </text>
    </comment>
    <comment ref="AK13" authorId="0" shapeId="0" xr:uid="{9ABE5930-7255-468D-9C56-1096B2EE7D59}">
      <text>
        <r>
          <rPr>
            <sz val="9"/>
            <color indexed="81"/>
            <rFont val="Tahoma"/>
            <family val="2"/>
          </rPr>
          <t xml:space="preserve">If cell is shaded red critical threshold item was not met.
</t>
        </r>
      </text>
    </comment>
    <comment ref="AK15" authorId="0" shapeId="0" xr:uid="{B9F15C00-9984-4919-B50D-142E6095E2C1}">
      <text>
        <r>
          <rPr>
            <sz val="9"/>
            <color indexed="81"/>
            <rFont val="Tahoma"/>
            <family val="2"/>
          </rPr>
          <t xml:space="preserve">If cell is shaded red critical threshold item was not met.
</t>
        </r>
      </text>
    </comment>
    <comment ref="AK16" authorId="0" shapeId="0" xr:uid="{6EC57BA4-5742-4922-A1E6-CEF8CEB8E4AE}">
      <text>
        <r>
          <rPr>
            <sz val="9"/>
            <color indexed="81"/>
            <rFont val="Tahoma"/>
            <family val="2"/>
          </rPr>
          <t xml:space="preserve">If cell is shaded red critical threshold item was not met.
</t>
        </r>
      </text>
    </comment>
    <comment ref="AK17" authorId="0" shapeId="0" xr:uid="{C340F92F-8818-4A88-982D-57D69074B861}">
      <text>
        <r>
          <rPr>
            <sz val="9"/>
            <color indexed="81"/>
            <rFont val="Tahoma"/>
            <family val="2"/>
          </rPr>
          <t xml:space="preserve">If cell is shaded red critical threshold item was not met.
</t>
        </r>
      </text>
    </comment>
    <comment ref="AK41" authorId="0" shapeId="0" xr:uid="{690D10E2-7A83-4AB8-B55A-8090A7D2C9B4}">
      <text>
        <r>
          <rPr>
            <sz val="9"/>
            <color indexed="81"/>
            <rFont val="Tahoma"/>
            <family val="2"/>
          </rPr>
          <t xml:space="preserve">If cell is shaded red critical threshold item was not met.
</t>
        </r>
      </text>
    </comment>
    <comment ref="AK42" authorId="0" shapeId="0" xr:uid="{7C5B4E31-BE37-4EBE-8A72-9A82974844C7}">
      <text>
        <r>
          <rPr>
            <sz val="9"/>
            <color indexed="81"/>
            <rFont val="Tahoma"/>
            <family val="2"/>
          </rPr>
          <t xml:space="preserve">If cell is shaded red critical threshold item was not met.
</t>
        </r>
      </text>
    </comment>
    <comment ref="AK45" authorId="0" shapeId="0" xr:uid="{CC154E6D-3EF2-4603-B234-721CA90C2A05}">
      <text>
        <r>
          <rPr>
            <sz val="9"/>
            <color indexed="81"/>
            <rFont val="Tahoma"/>
            <family val="2"/>
          </rPr>
          <t xml:space="preserve">If cell is shaded red critical threshold item was not met.
</t>
        </r>
      </text>
    </comment>
    <comment ref="AK46" authorId="0" shapeId="0" xr:uid="{198C0F65-14A1-411D-967F-AB85FDE18E70}">
      <text>
        <r>
          <rPr>
            <sz val="9"/>
            <color indexed="81"/>
            <rFont val="Tahoma"/>
            <family val="2"/>
          </rPr>
          <t xml:space="preserve">If cell is shaded red critical threshold item was not met.
</t>
        </r>
      </text>
    </comment>
    <comment ref="AK47" authorId="0" shapeId="0" xr:uid="{FB59FBDF-AF1D-4E94-8541-D4F6CFC64C45}">
      <text>
        <r>
          <rPr>
            <sz val="9"/>
            <color indexed="81"/>
            <rFont val="Tahoma"/>
            <family val="2"/>
          </rPr>
          <t xml:space="preserve">If cell is shaded red critical threshold item was not met.
</t>
        </r>
      </text>
    </comment>
    <comment ref="AK48" authorId="0" shapeId="0" xr:uid="{3824D0DA-CB32-43A0-BFB4-2F83DE7221A6}">
      <text>
        <r>
          <rPr>
            <sz val="9"/>
            <color indexed="81"/>
            <rFont val="Tahoma"/>
            <family val="2"/>
          </rPr>
          <t xml:space="preserve">If cell is shaded red critical threshold item was not met.
</t>
        </r>
      </text>
    </comment>
    <comment ref="AK49" authorId="0" shapeId="0" xr:uid="{5D3F76F6-A3FA-4773-AA36-5283AD082E7B}">
      <text>
        <r>
          <rPr>
            <sz val="9"/>
            <color indexed="81"/>
            <rFont val="Tahoma"/>
            <family val="2"/>
          </rPr>
          <t xml:space="preserve">If cell is shaded red critical threshold item was not met.
</t>
        </r>
      </text>
    </comment>
    <comment ref="AK50" authorId="0" shapeId="0" xr:uid="{01BBDA63-D6EB-4928-A0FA-159CCBA8B45D}">
      <text>
        <r>
          <rPr>
            <sz val="9"/>
            <color indexed="81"/>
            <rFont val="Tahoma"/>
            <family val="2"/>
          </rPr>
          <t xml:space="preserve">If cell is shaded red critical threshold item was not met.
</t>
        </r>
      </text>
    </comment>
    <comment ref="AK52" authorId="0" shapeId="0" xr:uid="{6C42B030-0A7C-4F1B-93B6-3AA93BD9E224}">
      <text>
        <r>
          <rPr>
            <sz val="9"/>
            <color indexed="81"/>
            <rFont val="Tahoma"/>
            <family val="2"/>
          </rPr>
          <t xml:space="preserve">If cell is shaded red critical threshold item was not met.
</t>
        </r>
      </text>
    </comment>
    <comment ref="AK53" authorId="0" shapeId="0" xr:uid="{7AD0D66F-4FF2-4195-B7EA-4B79FAB9F3E0}">
      <text>
        <r>
          <rPr>
            <sz val="9"/>
            <color indexed="81"/>
            <rFont val="Tahoma"/>
            <family val="2"/>
          </rPr>
          <t xml:space="preserve">If cell is shaded red critical threshold item was not met.
</t>
        </r>
      </text>
    </comment>
    <comment ref="AK54" authorId="0" shapeId="0" xr:uid="{6627A63D-766B-43E6-B1AB-D2CF8FADFFB8}">
      <text>
        <r>
          <rPr>
            <sz val="9"/>
            <color indexed="81"/>
            <rFont val="Tahoma"/>
            <family val="2"/>
          </rPr>
          <t xml:space="preserve">If cell is shaded red critical threshold item was not met.
</t>
        </r>
      </text>
    </comment>
    <comment ref="AK55" authorId="0" shapeId="0" xr:uid="{DFBEF0E1-FD7F-42BB-A4FB-B6B0229E88E6}">
      <text>
        <r>
          <rPr>
            <sz val="9"/>
            <color indexed="81"/>
            <rFont val="Tahoma"/>
            <family val="2"/>
          </rPr>
          <t xml:space="preserve">If cell is shaded red critical threshold item was not met.
</t>
        </r>
      </text>
    </comment>
    <comment ref="AK56" authorId="0" shapeId="0" xr:uid="{E5FB500A-FA44-42C5-AC2E-660530941EBC}">
      <text>
        <r>
          <rPr>
            <sz val="9"/>
            <color indexed="81"/>
            <rFont val="Tahoma"/>
            <family val="2"/>
          </rPr>
          <t xml:space="preserve">If cell is shaded red critical threshold item was not met.
</t>
        </r>
      </text>
    </comment>
    <comment ref="AK57" authorId="0" shapeId="0" xr:uid="{259F7853-3F75-4030-8405-89656D2D1753}">
      <text>
        <r>
          <rPr>
            <sz val="9"/>
            <color indexed="81"/>
            <rFont val="Tahoma"/>
            <family val="2"/>
          </rPr>
          <t xml:space="preserve">If cell is shaded red critical threshold item was not met.
</t>
        </r>
      </text>
    </comment>
    <comment ref="AK58" authorId="0" shapeId="0" xr:uid="{4E417971-44BD-4B34-A90F-AA399880F2D2}">
      <text>
        <r>
          <rPr>
            <sz val="9"/>
            <color indexed="81"/>
            <rFont val="Tahoma"/>
            <family val="2"/>
          </rPr>
          <t xml:space="preserve">If cell is shaded red critical threshold item was not met.
</t>
        </r>
      </text>
    </comment>
    <comment ref="AK60" authorId="0" shapeId="0" xr:uid="{28DED1CE-A75A-4864-8C96-8357E06552D1}">
      <text>
        <r>
          <rPr>
            <sz val="9"/>
            <color indexed="81"/>
            <rFont val="Tahoma"/>
            <family val="2"/>
          </rPr>
          <t xml:space="preserve">If cell is shaded red critical threshold item was not met.
</t>
        </r>
      </text>
    </comment>
    <comment ref="AK62" authorId="1" shapeId="0" xr:uid="{3F702DF0-3438-44F1-B889-EDA728249364}">
      <text>
        <r>
          <rPr>
            <sz val="9"/>
            <color indexed="81"/>
            <rFont val="Tahoma"/>
            <family val="2"/>
          </rPr>
          <t xml:space="preserve">Answer will change to Yes when qualifying info entered below.
</t>
        </r>
      </text>
    </comment>
    <comment ref="AJ64" authorId="1" shapeId="0" xr:uid="{76BF6BBD-B368-4847-9DDD-F53B13553150}">
      <text>
        <r>
          <rPr>
            <b/>
            <sz val="9"/>
            <color indexed="81"/>
            <rFont val="Tahoma"/>
            <family val="2"/>
          </rPr>
          <t>Enter the most recent date the project was developed, owned or operated.</t>
        </r>
        <r>
          <rPr>
            <sz val="9"/>
            <color indexed="81"/>
            <rFont val="Tahoma"/>
            <family val="2"/>
          </rPr>
          <t xml:space="preserve">
</t>
        </r>
      </text>
    </comment>
    <comment ref="AC65" authorId="2" shapeId="0" xr:uid="{6A7AABC0-608A-4FE5-84C8-EC802CB7B97C}">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K66" authorId="1" shapeId="0" xr:uid="{1C766DE5-517C-44B9-A7AA-62B5733C51A9}">
      <text>
        <r>
          <rPr>
            <sz val="9"/>
            <color indexed="81"/>
            <rFont val="Tahoma"/>
            <family val="2"/>
          </rPr>
          <t xml:space="preserve">Answer will change to Yes when qualifying info entered below.
</t>
        </r>
      </text>
    </comment>
    <comment ref="AJ67" authorId="1" shapeId="0" xr:uid="{89D59307-D8DA-47B6-837D-24257BE755C9}">
      <text>
        <r>
          <rPr>
            <b/>
            <sz val="9"/>
            <color indexed="81"/>
            <rFont val="Tahoma"/>
            <family val="2"/>
          </rPr>
          <t>Enter the most recent date the project was developed, owned or operated.</t>
        </r>
        <r>
          <rPr>
            <sz val="9"/>
            <color indexed="81"/>
            <rFont val="Tahoma"/>
            <family val="2"/>
          </rPr>
          <t xml:space="preserve">
</t>
        </r>
      </text>
    </comment>
    <comment ref="AC68" authorId="2" shapeId="0" xr:uid="{DD566685-91EF-479A-AC64-31F1E12805F4}">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C69" authorId="2" shapeId="0" xr:uid="{E1E765EF-1302-40D0-901B-402D16EAD015}">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K70" authorId="1" shapeId="0" xr:uid="{94635DE0-3DC9-4BAB-A9DC-CFB1A2730A71}">
      <text>
        <r>
          <rPr>
            <sz val="9"/>
            <color indexed="81"/>
            <rFont val="Tahoma"/>
            <family val="2"/>
          </rPr>
          <t xml:space="preserve">Answer will change to Yes when qualifying info entered below.
</t>
        </r>
      </text>
    </comment>
    <comment ref="AD73" authorId="2" shapeId="0" xr:uid="{6DB4B3D8-583A-406E-9816-4F5CB3150F62}">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74" authorId="2" shapeId="0" xr:uid="{523FA8D2-08D8-4CD7-9381-B6A2CD543938}">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75" authorId="2" shapeId="0" xr:uid="{1C621901-DC81-42A8-8F2C-20E21004005F}">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76" authorId="2" shapeId="0" xr:uid="{16653730-952A-4E9E-B675-CA1D256284B5}">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77" authorId="2" shapeId="0" xr:uid="{D1953134-BE60-4358-9289-5461D44FDBDC}">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79" authorId="2" shapeId="0" xr:uid="{F1685F65-B0D9-41C5-AD2E-03B382B1DAE2}">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80" authorId="2" shapeId="0" xr:uid="{C802AB95-C536-4B1D-A19D-544266688FCE}">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81" authorId="2" shapeId="0" xr:uid="{FC65801A-7D11-4B97-8C4F-4D7294C0DCF2}">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82" authorId="2" shapeId="0" xr:uid="{6E20CC98-8E60-4CAA-AE18-B5167D3D8442}">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83" authorId="2" shapeId="0" xr:uid="{BD31D148-2A0B-4A1B-B5CE-7B73EF1BB28A}">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K85" authorId="0" shapeId="0" xr:uid="{7D81D7C2-DBCF-4CFA-9FA4-05B914568BE8}">
      <text>
        <r>
          <rPr>
            <sz val="9"/>
            <color indexed="81"/>
            <rFont val="Tahoma"/>
            <family val="2"/>
          </rPr>
          <t xml:space="preserve">If cell is shaded red critical threshold item was not met.
</t>
        </r>
      </text>
    </comment>
    <comment ref="AK87" authorId="0" shapeId="0" xr:uid="{A3566CC7-2190-49DD-851C-244AC383AAA3}">
      <text>
        <r>
          <rPr>
            <sz val="9"/>
            <color indexed="81"/>
            <rFont val="Tahoma"/>
            <family val="2"/>
          </rPr>
          <t xml:space="preserve">If cell is shaded red critical threshold item was not met.
</t>
        </r>
      </text>
    </comment>
    <comment ref="AK89" authorId="0" shapeId="0" xr:uid="{AEBF5742-DDFA-4792-9539-13D9143AE4EE}">
      <text>
        <r>
          <rPr>
            <sz val="9"/>
            <color indexed="81"/>
            <rFont val="Tahoma"/>
            <family val="2"/>
          </rPr>
          <t xml:space="preserve">If cell is shaded red critical threshold item was not met.
</t>
        </r>
      </text>
    </comment>
    <comment ref="AK90" authorId="0" shapeId="0" xr:uid="{F0829BB2-3926-440A-9E5F-3360976F2B77}">
      <text>
        <r>
          <rPr>
            <sz val="9"/>
            <color indexed="81"/>
            <rFont val="Tahoma"/>
            <family val="2"/>
          </rPr>
          <t xml:space="preserve">If cell is shaded red critical threshold item was not met.
</t>
        </r>
      </text>
    </comment>
    <comment ref="AK91" authorId="0" shapeId="0" xr:uid="{2C4B2E80-0605-4CB8-AB65-B4E84FFBB0B2}">
      <text>
        <r>
          <rPr>
            <sz val="9"/>
            <color indexed="81"/>
            <rFont val="Tahoma"/>
            <family val="2"/>
          </rPr>
          <t xml:space="preserve">If cell is shaded red critical threshold item was not met.
</t>
        </r>
      </text>
    </comment>
    <comment ref="AK92" authorId="0" shapeId="0" xr:uid="{825924D7-D7C3-4F23-A4F5-9D962E5CEDC3}">
      <text>
        <r>
          <rPr>
            <sz val="9"/>
            <color indexed="81"/>
            <rFont val="Tahoma"/>
            <family val="2"/>
          </rPr>
          <t xml:space="preserve">If cell is shaded red critical threshold item was not met.
</t>
        </r>
      </text>
    </comment>
    <comment ref="AK94" authorId="0" shapeId="0" xr:uid="{F737D272-D306-4B8A-B5DE-45127A4D58A2}">
      <text>
        <r>
          <rPr>
            <sz val="9"/>
            <color indexed="81"/>
            <rFont val="Tahoma"/>
            <family val="2"/>
          </rPr>
          <t xml:space="preserve">If cell is shaded red critical threshold item was not met.
</t>
        </r>
      </text>
    </comment>
    <comment ref="AK96" authorId="1" shapeId="0" xr:uid="{FDB92E5C-1691-43FA-AD61-5EEC0CFA1CBA}">
      <text>
        <r>
          <rPr>
            <sz val="9"/>
            <color indexed="81"/>
            <rFont val="Tahoma"/>
            <family val="2"/>
          </rPr>
          <t xml:space="preserve">Answer will change to Yes when qualifying info entered below.
</t>
        </r>
      </text>
    </comment>
    <comment ref="AD98" authorId="2" shapeId="0" xr:uid="{0B3EF55B-7737-472B-9955-79A59A7D5F89}">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99" authorId="2" shapeId="0" xr:uid="{6EE4CA59-2C0C-40FA-842A-FF8DB5028C23}">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100" authorId="2" shapeId="0" xr:uid="{69EFC699-2539-44D4-B9F8-58794D82FAED}">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101" authorId="2" shapeId="0" xr:uid="{DAA826C7-3E47-4BA4-A783-0CFDF6A4AFCC}">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102" authorId="2" shapeId="0" xr:uid="{5DB015A4-81CD-4414-A81B-1CAA678EA4F3}">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103" authorId="2" shapeId="0" xr:uid="{31600BAA-0DC9-45EF-AF54-FC31BDE4C878}">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D104" authorId="2" shapeId="0" xr:uid="{7829CC15-59CE-426A-8FC1-2C0332C91C19}">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K106" authorId="0" shapeId="0" xr:uid="{E1B09A0A-74FB-4435-A021-B3E91FDCF4E7}">
      <text>
        <r>
          <rPr>
            <sz val="9"/>
            <color indexed="81"/>
            <rFont val="Tahoma"/>
            <family val="2"/>
          </rPr>
          <t xml:space="preserve">If cell is shaded red critical threshold item was not met.
</t>
        </r>
      </text>
    </comment>
    <comment ref="AK107" authorId="0" shapeId="0" xr:uid="{26DD0AD4-79BE-4FC2-9EB6-032E6C2A5111}">
      <text>
        <r>
          <rPr>
            <sz val="9"/>
            <color indexed="81"/>
            <rFont val="Tahoma"/>
            <family val="2"/>
          </rPr>
          <t xml:space="preserve">If cell is shaded red critical threshold item was not met.
</t>
        </r>
      </text>
    </comment>
    <comment ref="AK108" authorId="0" shapeId="0" xr:uid="{FAF8D4AB-5C12-467B-9048-DA708B48AF6B}">
      <text>
        <r>
          <rPr>
            <sz val="9"/>
            <color indexed="81"/>
            <rFont val="Tahoma"/>
            <family val="2"/>
          </rPr>
          <t xml:space="preserve">If cell is shaded red critical threshold item was not met.
</t>
        </r>
      </text>
    </comment>
    <comment ref="AK109" authorId="0" shapeId="0" xr:uid="{1748FDF4-36FA-4397-8331-3883968E9BF3}">
      <text>
        <r>
          <rPr>
            <sz val="9"/>
            <color indexed="81"/>
            <rFont val="Tahoma"/>
            <family val="2"/>
          </rPr>
          <t xml:space="preserve">If cell is shaded red critical threshold item was not met.
</t>
        </r>
      </text>
    </comment>
    <comment ref="AK111" authorId="0" shapeId="0" xr:uid="{40FD9FC2-D05F-4F4F-A23D-65233802A3E3}">
      <text>
        <r>
          <rPr>
            <sz val="9"/>
            <color indexed="81"/>
            <rFont val="Tahoma"/>
            <family val="2"/>
          </rPr>
          <t xml:space="preserve">If cell is shaded red critical threshold item was not met.
</t>
        </r>
      </text>
    </comment>
    <comment ref="AK113" authorId="0" shapeId="0" xr:uid="{E097A375-2350-40A3-BAD3-8230F21C3799}">
      <text>
        <r>
          <rPr>
            <sz val="9"/>
            <color indexed="81"/>
            <rFont val="Tahoma"/>
            <family val="2"/>
          </rPr>
          <t xml:space="preserve">If cell is shaded red critical threshold item was not met.
</t>
        </r>
      </text>
    </comment>
    <comment ref="AK115" authorId="0" shapeId="0" xr:uid="{34EFD8F9-6A3D-48E5-BBA7-0D402E082278}">
      <text>
        <r>
          <rPr>
            <sz val="9"/>
            <color indexed="81"/>
            <rFont val="Tahoma"/>
            <family val="2"/>
          </rPr>
          <t xml:space="preserve">If cell is shaded red critical threshold item was not met.
</t>
        </r>
      </text>
    </comment>
    <comment ref="AK117" authorId="0" shapeId="0" xr:uid="{057250D0-DC68-456B-AC97-DFF57ED21E37}">
      <text>
        <r>
          <rPr>
            <sz val="9"/>
            <color indexed="81"/>
            <rFont val="Tahoma"/>
            <family val="2"/>
          </rPr>
          <t xml:space="preserve">If cell is shaded red critical threshold item was not met.
</t>
        </r>
      </text>
    </comment>
    <comment ref="AK119" authorId="0" shapeId="0" xr:uid="{1B5E4A63-0666-4F24-A853-2238602F8E43}">
      <text>
        <r>
          <rPr>
            <sz val="9"/>
            <color indexed="81"/>
            <rFont val="Tahoma"/>
            <family val="2"/>
          </rPr>
          <t xml:space="preserve">If cell is shaded red critical threshold item was not met.
</t>
        </r>
      </text>
    </comment>
    <comment ref="AK122" authorId="0" shapeId="0" xr:uid="{D7A5A86D-4296-4747-B03B-6AE1F636F35C}">
      <text>
        <r>
          <rPr>
            <sz val="9"/>
            <color indexed="81"/>
            <rFont val="Tahoma"/>
            <family val="2"/>
          </rPr>
          <t xml:space="preserve">If cell is shaded red critical threshold item was not met.
</t>
        </r>
      </text>
    </comment>
    <comment ref="AK123" authorId="0" shapeId="0" xr:uid="{9773CA5E-3BB4-478B-9300-42E348E25419}">
      <text>
        <r>
          <rPr>
            <sz val="9"/>
            <color indexed="81"/>
            <rFont val="Tahoma"/>
            <family val="2"/>
          </rPr>
          <t xml:space="preserve">If cell is shaded red critical threshold item was not met.
</t>
        </r>
      </text>
    </comment>
    <comment ref="AK125" authorId="0" shapeId="0" xr:uid="{D2A69A5F-6657-4BD9-B2DD-B001F9503343}">
      <text>
        <r>
          <rPr>
            <sz val="9"/>
            <color indexed="81"/>
            <rFont val="Tahoma"/>
            <family val="2"/>
          </rPr>
          <t xml:space="preserve">If cell is shaded red critical threshold item was not met.
</t>
        </r>
      </text>
    </comment>
    <comment ref="AK128" authorId="0" shapeId="0" xr:uid="{36CDC23C-F61D-4630-B6CB-9BC272B91810}">
      <text>
        <r>
          <rPr>
            <sz val="9"/>
            <color indexed="81"/>
            <rFont val="Tahoma"/>
            <family val="2"/>
          </rPr>
          <t xml:space="preserve">If cell is shaded red critical threshold item was not met.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kweber</author>
    <author>George, Ryan@HCD</author>
  </authors>
  <commentList>
    <comment ref="A6" authorId="0" shapeId="0" xr:uid="{D2D39200-5C16-4A6F-995E-A1639301A835}">
      <text>
        <r>
          <rPr>
            <b/>
            <sz val="8"/>
            <color indexed="81"/>
            <rFont val="Tahoma"/>
            <family val="2"/>
          </rPr>
          <t>List All Disclosures Here</t>
        </r>
      </text>
    </comment>
    <comment ref="AK22" authorId="1" shapeId="0" xr:uid="{B285E473-2516-4C7E-93CC-8305AF46930F}">
      <text>
        <r>
          <rPr>
            <sz val="9"/>
            <color indexed="81"/>
            <rFont val="Tahoma"/>
            <family val="2"/>
          </rPr>
          <t xml:space="preserve">If cell is shaded red critical threshold item was not met, see explanations section below.
</t>
        </r>
      </text>
    </comment>
    <comment ref="AK23" authorId="1" shapeId="0" xr:uid="{4C6BFA0E-82D6-4ACE-875E-BDD44F4181AD}">
      <text>
        <r>
          <rPr>
            <sz val="9"/>
            <color indexed="81"/>
            <rFont val="Tahoma"/>
            <family val="2"/>
          </rPr>
          <t xml:space="preserve">If cell is shaded red critical threshold item was not met, see explanations section below.
</t>
        </r>
      </text>
    </comment>
    <comment ref="AK24" authorId="1" shapeId="0" xr:uid="{9D724EEF-6E36-488A-B187-7CE5039A41DC}">
      <text>
        <r>
          <rPr>
            <sz val="9"/>
            <color indexed="81"/>
            <rFont val="Tahoma"/>
            <family val="2"/>
          </rPr>
          <t xml:space="preserve">If cell is shaded red critical threshold item was not met, see explanations section below.
</t>
        </r>
      </text>
    </comment>
    <comment ref="AK25" authorId="1" shapeId="0" xr:uid="{182E68CB-DC82-4EB6-AA26-A63108780826}">
      <text>
        <r>
          <rPr>
            <sz val="9"/>
            <color indexed="81"/>
            <rFont val="Tahoma"/>
            <family val="2"/>
          </rPr>
          <t xml:space="preserve">If cell is shaded red critical threshold item was not met, see explanations section below.
</t>
        </r>
      </text>
    </comment>
    <comment ref="AK26" authorId="1" shapeId="0" xr:uid="{0D41FE5E-9EE9-4134-856B-F8E06158DD83}">
      <text>
        <r>
          <rPr>
            <sz val="9"/>
            <color indexed="81"/>
            <rFont val="Tahoma"/>
            <family val="2"/>
          </rPr>
          <t xml:space="preserve">If cell is shaded red critical threshold item was not met, see explanations section below.
</t>
        </r>
      </text>
    </comment>
    <comment ref="AK28" authorId="1" shapeId="0" xr:uid="{3D0C7603-FE8B-40CC-AD98-9E32D52EAA36}">
      <text>
        <r>
          <rPr>
            <sz val="9"/>
            <color indexed="81"/>
            <rFont val="Tahoma"/>
            <family val="2"/>
          </rPr>
          <t xml:space="preserve">If cell is shaded red critical threshold item was not met, see explanations section below.
</t>
        </r>
      </text>
    </comment>
    <comment ref="AK29" authorId="1" shapeId="0" xr:uid="{151DD930-D389-4F06-B482-73FB1D2D2AFD}">
      <text>
        <r>
          <rPr>
            <sz val="9"/>
            <color indexed="81"/>
            <rFont val="Tahoma"/>
            <family val="2"/>
          </rPr>
          <t xml:space="preserve">If cell is shaded red critical threshold item was not met, see explanations section below.
</t>
        </r>
      </text>
    </comment>
    <comment ref="AK30" authorId="1" shapeId="0" xr:uid="{14B8F705-B142-4A93-A539-B04EA9ADA82A}">
      <text>
        <r>
          <rPr>
            <sz val="9"/>
            <color indexed="81"/>
            <rFont val="Tahoma"/>
            <family val="2"/>
          </rPr>
          <t xml:space="preserve">If cell is shaded red critical threshold item was not met, see explanations section below.
</t>
        </r>
      </text>
    </comment>
    <comment ref="AK31" authorId="1" shapeId="0" xr:uid="{897B2901-C85F-4825-9FFF-F55FAF37747F}">
      <text>
        <r>
          <rPr>
            <sz val="9"/>
            <color indexed="81"/>
            <rFont val="Tahoma"/>
            <family val="2"/>
          </rPr>
          <t xml:space="preserve">If cell is shaded red critical threshold item was not met, see explanations section below.
</t>
        </r>
      </text>
    </comment>
    <comment ref="AK32" authorId="1" shapeId="0" xr:uid="{EE05B9E3-9246-4DDB-9C36-A612C3C4CD39}">
      <text>
        <r>
          <rPr>
            <sz val="9"/>
            <color indexed="81"/>
            <rFont val="Tahoma"/>
            <family val="2"/>
          </rPr>
          <t xml:space="preserve">If cell is shaded red critical threshold item was not met, see explanations section below.
</t>
        </r>
      </text>
    </comment>
    <comment ref="AK33" authorId="1" shapeId="0" xr:uid="{5C7CB2B7-0C75-46A3-83B4-798EE51E0A5B}">
      <text>
        <r>
          <rPr>
            <sz val="9"/>
            <color indexed="81"/>
            <rFont val="Tahoma"/>
            <family val="2"/>
          </rPr>
          <t xml:space="preserve">If cell is shaded red critical threshold item was not met, see explanations section below.
</t>
        </r>
      </text>
    </comment>
    <comment ref="AK34" authorId="1" shapeId="0" xr:uid="{D10B6BAF-DC1D-4E9B-88AE-F519F8492B6F}">
      <text>
        <r>
          <rPr>
            <sz val="9"/>
            <color indexed="81"/>
            <rFont val="Tahoma"/>
            <family val="2"/>
          </rPr>
          <t xml:space="preserve">If cell is shaded red critical threshold item was not met, see explanations section below.
</t>
        </r>
      </text>
    </comment>
    <comment ref="AK36" authorId="1" shapeId="0" xr:uid="{33EF741A-689B-40E0-B96B-3194C4324AAA}">
      <text>
        <r>
          <rPr>
            <sz val="9"/>
            <color indexed="81"/>
            <rFont val="Tahoma"/>
            <family val="2"/>
          </rPr>
          <t xml:space="preserve">If cell is shaded red critical threshold item was not met, see explanations section below.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George Rodine</author>
  </authors>
  <commentList>
    <comment ref="M154" authorId="0" shapeId="0" xr:uid="{5E3C1629-5767-4F86-AA73-87F6641F3335}">
      <text>
        <r>
          <rPr>
            <sz val="9"/>
            <color indexed="81"/>
            <rFont val="Tahoma"/>
            <family val="2"/>
          </rPr>
          <t>Tenants will maintain affordable housing with needed services.</t>
        </r>
      </text>
    </comment>
    <comment ref="M155" authorId="0" shapeId="0" xr:uid="{922C8777-9D78-4C80-B6A1-3F2037AB934C}">
      <text>
        <r>
          <rPr>
            <sz val="9"/>
            <color indexed="81"/>
            <rFont val="Tahoma"/>
            <family val="2"/>
          </rPr>
          <t xml:space="preserve">Tenants will gain employment.
Tenants will improve their ability to be self supportive.
</t>
        </r>
      </text>
    </comment>
    <comment ref="M156" authorId="0" shapeId="0" xr:uid="{BB28B2F4-AC1C-46AF-B2E5-185A3A14D719}">
      <text>
        <r>
          <rPr>
            <sz val="9"/>
            <color indexed="81"/>
            <rFont val="Tahoma"/>
            <family val="2"/>
          </rPr>
          <t>Tenants will exercise more control over their lives. Tenants will improve their quality of life and ability to live independently.</t>
        </r>
      </text>
    </comment>
    <comment ref="M157" authorId="0" shapeId="0" xr:uid="{59525307-483C-4564-8CBF-008AA305917E}">
      <text>
        <r>
          <rPr>
            <sz val="9"/>
            <color indexed="81"/>
            <rFont val="Tahoma"/>
            <family val="2"/>
          </rPr>
          <t>Tenants will exercise more control over their lives. Tenants will improve their quality of life and ability to live independently.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Rodine, George@HCD</author>
  </authors>
  <commentList>
    <comment ref="H4" authorId="0" shapeId="0" xr:uid="{FC30389B-E155-4227-8D2D-23197C926254}">
      <text>
        <r>
          <rPr>
            <b/>
            <sz val="9"/>
            <color indexed="81"/>
            <rFont val="Tahoma"/>
            <family val="2"/>
          </rPr>
          <t>If shaded red, manager units exceed total units.</t>
        </r>
        <r>
          <rPr>
            <sz val="9"/>
            <color indexed="81"/>
            <rFont val="Tahoma"/>
            <family val="2"/>
          </rPr>
          <t xml:space="preserve">
</t>
        </r>
      </text>
    </comment>
    <comment ref="AB4" authorId="0" shapeId="0" xr:uid="{6346CE43-F0AB-469A-A611-D21A9451CC92}">
      <text>
        <r>
          <rPr>
            <sz val="9"/>
            <color indexed="81"/>
            <rFont val="Tahoma"/>
            <family val="2"/>
          </rPr>
          <t xml:space="preserve">Homekey cannot fund the Non-Assisted unit portion of the development costs
</t>
        </r>
      </text>
    </comment>
    <comment ref="U5" authorId="0" shapeId="0" xr:uid="{8B4FCE97-A7B6-43E7-9790-65124E7964C3}">
      <text>
        <r>
          <rPr>
            <b/>
            <sz val="9"/>
            <color indexed="81"/>
            <rFont val="Tahoma"/>
            <family val="2"/>
          </rPr>
          <t>If shaded red, error: Assisted Units exceed the Total Units in column E.</t>
        </r>
        <r>
          <rPr>
            <sz val="9"/>
            <color indexed="81"/>
            <rFont val="Tahoma"/>
            <family val="2"/>
          </rPr>
          <t xml:space="preserve">
</t>
        </r>
      </text>
    </comment>
    <comment ref="U6" authorId="0" shapeId="0" xr:uid="{CA673D49-DBA4-4668-9A24-DDFE423854A8}">
      <text>
        <r>
          <rPr>
            <b/>
            <sz val="9"/>
            <color indexed="81"/>
            <rFont val="Tahoma"/>
            <family val="2"/>
          </rPr>
          <t>If shaded red, error: Assisted Units exceed the Total Units in column E.</t>
        </r>
        <r>
          <rPr>
            <sz val="9"/>
            <color indexed="81"/>
            <rFont val="Tahoma"/>
            <family val="2"/>
          </rPr>
          <t xml:space="preserve">
</t>
        </r>
      </text>
    </comment>
    <comment ref="U7" authorId="0" shapeId="0" xr:uid="{F1740546-FC59-4D62-A6E2-A0F6EC499E95}">
      <text>
        <r>
          <rPr>
            <b/>
            <sz val="9"/>
            <color indexed="81"/>
            <rFont val="Tahoma"/>
            <family val="2"/>
          </rPr>
          <t>If shaded red, error: Assisted Units exceed the Total Units in column E.</t>
        </r>
        <r>
          <rPr>
            <sz val="9"/>
            <color indexed="81"/>
            <rFont val="Tahoma"/>
            <family val="2"/>
          </rPr>
          <t xml:space="preserve">
</t>
        </r>
      </text>
    </comment>
    <comment ref="U8" authorId="0" shapeId="0" xr:uid="{02A57BD0-4CB0-4656-854E-D947D3A8A042}">
      <text>
        <r>
          <rPr>
            <b/>
            <sz val="9"/>
            <color indexed="81"/>
            <rFont val="Tahoma"/>
            <family val="2"/>
          </rPr>
          <t>If shaded red, error: Assisted Units exceed the Total Units in column E.</t>
        </r>
        <r>
          <rPr>
            <sz val="9"/>
            <color indexed="81"/>
            <rFont val="Tahoma"/>
            <family val="2"/>
          </rPr>
          <t xml:space="preserve">
</t>
        </r>
      </text>
    </comment>
    <comment ref="U9" authorId="0" shapeId="0" xr:uid="{E822282A-3A8E-4E20-8980-9CFB3B263A22}">
      <text>
        <r>
          <rPr>
            <b/>
            <sz val="9"/>
            <color indexed="81"/>
            <rFont val="Tahoma"/>
            <family val="2"/>
          </rPr>
          <t>If shaded red, error: Assisted Units exceed the Total Units in column E.</t>
        </r>
        <r>
          <rPr>
            <sz val="9"/>
            <color indexed="81"/>
            <rFont val="Tahoma"/>
            <family val="2"/>
          </rPr>
          <t xml:space="preserve">
</t>
        </r>
      </text>
    </comment>
    <comment ref="U10" authorId="0" shapeId="0" xr:uid="{F04B3537-9B27-4223-9EE0-79E6CCF11723}">
      <text>
        <r>
          <rPr>
            <b/>
            <sz val="9"/>
            <color indexed="81"/>
            <rFont val="Tahoma"/>
            <family val="2"/>
          </rPr>
          <t>If shaded red, error: Assisted Units exceed the Total Units in column E.</t>
        </r>
        <r>
          <rPr>
            <sz val="9"/>
            <color indexed="81"/>
            <rFont val="Tahoma"/>
            <family val="2"/>
          </rPr>
          <t xml:space="preserve">
</t>
        </r>
      </text>
    </comment>
    <comment ref="U11" authorId="0" shapeId="0" xr:uid="{C30799CF-5CEA-4C1B-9F51-10E38FDA4B8A}">
      <text>
        <r>
          <rPr>
            <b/>
            <sz val="9"/>
            <color indexed="81"/>
            <rFont val="Tahoma"/>
            <family val="2"/>
          </rPr>
          <t>If shaded red, error: Assisted Units exceed the Total Units in column E.</t>
        </r>
        <r>
          <rPr>
            <sz val="9"/>
            <color indexed="81"/>
            <rFont val="Tahoma"/>
            <family val="2"/>
          </rPr>
          <t xml:space="preserve">
</t>
        </r>
      </text>
    </comment>
    <comment ref="U12" authorId="0" shapeId="0" xr:uid="{6B20CA32-1807-44DC-9DFF-DABDA2240E6E}">
      <text>
        <r>
          <rPr>
            <b/>
            <sz val="9"/>
            <color indexed="81"/>
            <rFont val="Tahoma"/>
            <family val="2"/>
          </rPr>
          <t>If shaded red, error: Assisted Units exceed the Total Units in column E.</t>
        </r>
        <r>
          <rPr>
            <sz val="9"/>
            <color indexed="81"/>
            <rFont val="Tahoma"/>
            <family val="2"/>
          </rPr>
          <t xml:space="preserve">
</t>
        </r>
      </text>
    </comment>
    <comment ref="U13" authorId="0" shapeId="0" xr:uid="{069049A3-A749-40D6-84A8-45D861458916}">
      <text>
        <r>
          <rPr>
            <b/>
            <sz val="9"/>
            <color indexed="81"/>
            <rFont val="Tahoma"/>
            <family val="2"/>
          </rPr>
          <t>If shaded red, error: Assisted Units exceed the Total Units in column E.</t>
        </r>
        <r>
          <rPr>
            <sz val="9"/>
            <color indexed="81"/>
            <rFont val="Tahoma"/>
            <family val="2"/>
          </rPr>
          <t xml:space="preserve">
</t>
        </r>
      </text>
    </comment>
    <comment ref="U14" authorId="0" shapeId="0" xr:uid="{5D04044B-CF10-479E-A186-1EDD2CE8815C}">
      <text>
        <r>
          <rPr>
            <b/>
            <sz val="9"/>
            <color indexed="81"/>
            <rFont val="Tahoma"/>
            <family val="2"/>
          </rPr>
          <t>If shaded red, error: Assisted Units exceed the Total Units in column E.</t>
        </r>
        <r>
          <rPr>
            <sz val="9"/>
            <color indexed="81"/>
            <rFont val="Tahoma"/>
            <family val="2"/>
          </rPr>
          <t xml:space="preserve">
</t>
        </r>
      </text>
    </comment>
    <comment ref="U15" authorId="0" shapeId="0" xr:uid="{CD97E79E-D6A2-4723-A2CA-8DD8EA08B050}">
      <text>
        <r>
          <rPr>
            <b/>
            <sz val="9"/>
            <color indexed="81"/>
            <rFont val="Tahoma"/>
            <family val="2"/>
          </rPr>
          <t>If shaded red, error: Assisted Units exceed the Total Units in column E.</t>
        </r>
        <r>
          <rPr>
            <sz val="9"/>
            <color indexed="81"/>
            <rFont val="Tahoma"/>
            <family val="2"/>
          </rPr>
          <t xml:space="preserve">
</t>
        </r>
      </text>
    </comment>
    <comment ref="U16" authorId="0" shapeId="0" xr:uid="{1A62B8CF-8820-4313-8BBF-162B818C7C31}">
      <text>
        <r>
          <rPr>
            <b/>
            <sz val="9"/>
            <color indexed="81"/>
            <rFont val="Tahoma"/>
            <family val="2"/>
          </rPr>
          <t>If shaded red, error: Assisted Units exceed the Total Units in column E.</t>
        </r>
        <r>
          <rPr>
            <sz val="9"/>
            <color indexed="81"/>
            <rFont val="Tahoma"/>
            <family val="2"/>
          </rPr>
          <t xml:space="preserve">
</t>
        </r>
      </text>
    </comment>
    <comment ref="U17" authorId="0" shapeId="0" xr:uid="{74F683DD-1ED0-4AAD-91B0-613B761E893F}">
      <text>
        <r>
          <rPr>
            <b/>
            <sz val="9"/>
            <color indexed="81"/>
            <rFont val="Tahoma"/>
            <family val="2"/>
          </rPr>
          <t>If shaded red, error: Assisted Units exceed the Total Units in column E.</t>
        </r>
        <r>
          <rPr>
            <sz val="9"/>
            <color indexed="81"/>
            <rFont val="Tahoma"/>
            <family val="2"/>
          </rPr>
          <t xml:space="preserve">
</t>
        </r>
      </text>
    </comment>
    <comment ref="U18" authorId="0" shapeId="0" xr:uid="{AE1FEEAF-8A94-43E6-A6CB-3B1385FB00F2}">
      <text>
        <r>
          <rPr>
            <b/>
            <sz val="9"/>
            <color indexed="81"/>
            <rFont val="Tahoma"/>
            <family val="2"/>
          </rPr>
          <t>If shaded red, error: Assisted Units exceed the Total Units in column E.</t>
        </r>
        <r>
          <rPr>
            <sz val="9"/>
            <color indexed="81"/>
            <rFont val="Tahoma"/>
            <family val="2"/>
          </rPr>
          <t xml:space="preserve">
</t>
        </r>
      </text>
    </comment>
    <comment ref="U19" authorId="0" shapeId="0" xr:uid="{D8798498-F04D-4DE6-A7C3-D63FAF99672D}">
      <text>
        <r>
          <rPr>
            <b/>
            <sz val="9"/>
            <color indexed="81"/>
            <rFont val="Tahoma"/>
            <family val="2"/>
          </rPr>
          <t>If shaded red, error: Assisted Units exceed the Total Units in column E.</t>
        </r>
        <r>
          <rPr>
            <sz val="9"/>
            <color indexed="81"/>
            <rFont val="Tahoma"/>
            <family val="2"/>
          </rPr>
          <t xml:space="preserve">
</t>
        </r>
      </text>
    </comment>
    <comment ref="U20" authorId="0" shapeId="0" xr:uid="{E2ACF5BA-D870-44AA-85C3-55B68AF1C32E}">
      <text>
        <r>
          <rPr>
            <b/>
            <sz val="9"/>
            <color indexed="81"/>
            <rFont val="Tahoma"/>
            <family val="2"/>
          </rPr>
          <t>If shaded red, error: Assisted Units exceed the Total Units in column E.</t>
        </r>
        <r>
          <rPr>
            <sz val="9"/>
            <color indexed="81"/>
            <rFont val="Tahoma"/>
            <family val="2"/>
          </rPr>
          <t xml:space="preserve">
</t>
        </r>
      </text>
    </comment>
    <comment ref="U21" authorId="0" shapeId="0" xr:uid="{FE4A1ACA-E005-4907-B423-D35BF36C11E9}">
      <text>
        <r>
          <rPr>
            <b/>
            <sz val="9"/>
            <color indexed="81"/>
            <rFont val="Tahoma"/>
            <family val="2"/>
          </rPr>
          <t>If shaded red, error: Assisted Units exceed the Total Units in column E.</t>
        </r>
        <r>
          <rPr>
            <sz val="9"/>
            <color indexed="81"/>
            <rFont val="Tahoma"/>
            <family val="2"/>
          </rPr>
          <t xml:space="preserve">
</t>
        </r>
      </text>
    </comment>
    <comment ref="U22" authorId="0" shapeId="0" xr:uid="{1678F970-25ED-47D8-9648-D23A09E763F5}">
      <text>
        <r>
          <rPr>
            <b/>
            <sz val="9"/>
            <color indexed="81"/>
            <rFont val="Tahoma"/>
            <family val="2"/>
          </rPr>
          <t>If shaded red, error: Assisted Units exceed the Total Units in column E.</t>
        </r>
        <r>
          <rPr>
            <sz val="9"/>
            <color indexed="81"/>
            <rFont val="Tahoma"/>
            <family val="2"/>
          </rPr>
          <t xml:space="preserve">
</t>
        </r>
      </text>
    </comment>
    <comment ref="U23" authorId="0" shapeId="0" xr:uid="{E5E2CAE2-CA90-47AC-8ECB-0BADD78BA358}">
      <text>
        <r>
          <rPr>
            <b/>
            <sz val="9"/>
            <color indexed="81"/>
            <rFont val="Tahoma"/>
            <family val="2"/>
          </rPr>
          <t>If shaded red, error: Assisted Units exceed the Total Units in column E.</t>
        </r>
        <r>
          <rPr>
            <sz val="9"/>
            <color indexed="81"/>
            <rFont val="Tahoma"/>
            <family val="2"/>
          </rPr>
          <t xml:space="preserve">
</t>
        </r>
      </text>
    </comment>
    <comment ref="U24" authorId="0" shapeId="0" xr:uid="{B41BBD5F-2D7F-4D3E-85B6-25DB59FB186F}">
      <text>
        <r>
          <rPr>
            <b/>
            <sz val="9"/>
            <color indexed="81"/>
            <rFont val="Tahoma"/>
            <family val="2"/>
          </rPr>
          <t>If shaded red, error: Assisted Units exceed the Total Units in column E.</t>
        </r>
        <r>
          <rPr>
            <sz val="9"/>
            <color indexed="81"/>
            <rFont val="Tahoma"/>
            <family val="2"/>
          </rPr>
          <t xml:space="preserve">
</t>
        </r>
      </text>
    </comment>
    <comment ref="I26" authorId="0" shapeId="0" xr:uid="{3C8EBC68-FB24-4B29-9CFE-846AC730F435}">
      <text>
        <r>
          <rPr>
            <b/>
            <sz val="9"/>
            <color indexed="81"/>
            <rFont val="Tahoma"/>
            <family val="2"/>
          </rPr>
          <t xml:space="preserve">Flows to Year 1 Restricted Unit Rents "Cash Flow' worksheet cell D5 when "Restricted Rents" is selected in the 'Cash Flow' worksheet cell I3 dropdown.
</t>
        </r>
        <r>
          <rPr>
            <sz val="9"/>
            <color indexed="81"/>
            <rFont val="Tahoma"/>
            <family val="2"/>
          </rPr>
          <t xml:space="preserve">
</t>
        </r>
      </text>
    </comment>
    <comment ref="J26" authorId="0" shapeId="0" xr:uid="{CC62107A-0D17-4A86-B42B-3F2665860091}">
      <text>
        <r>
          <rPr>
            <b/>
            <sz val="9"/>
            <color indexed="81"/>
            <rFont val="Tahoma"/>
            <family val="2"/>
          </rPr>
          <t xml:space="preserve">Flows to Year 1 Restricted Unit Rents "Cash Flow' worksheet cell D5 when "Proposed Rents" is selected in the 'Cash Flow' worksheet cell I3 dropdown.
</t>
        </r>
        <r>
          <rPr>
            <sz val="9"/>
            <color indexed="81"/>
            <rFont val="Tahoma"/>
            <family val="2"/>
          </rPr>
          <t xml:space="preserve">
</t>
        </r>
      </text>
    </comment>
    <comment ref="K26" authorId="0" shapeId="0" xr:uid="{DEC5349B-E61A-4C6D-BA93-7FA9ABEB08A5}">
      <text>
        <r>
          <rPr>
            <b/>
            <sz val="9"/>
            <color indexed="81"/>
            <rFont val="Tahoma"/>
            <family val="2"/>
          </rPr>
          <t xml:space="preserve">Flows to Year 1 Unrestricted Unit Rents "Cash Flow' worksheet cell D6.
</t>
        </r>
        <r>
          <rPr>
            <sz val="9"/>
            <color indexed="81"/>
            <rFont val="Tahoma"/>
            <family val="2"/>
          </rPr>
          <t xml:space="preserve">
</t>
        </r>
      </text>
    </comment>
    <comment ref="N26" authorId="0" shapeId="0" xr:uid="{17670A90-C9B5-4F26-A7C5-B91CC39F87F3}">
      <text>
        <r>
          <rPr>
            <b/>
            <sz val="9"/>
            <color indexed="81"/>
            <rFont val="Tahoma"/>
            <family val="2"/>
          </rPr>
          <t xml:space="preserve">Flows to "Operating' worksheet cell D36.
</t>
        </r>
        <r>
          <rPr>
            <sz val="9"/>
            <color indexed="81"/>
            <rFont val="Tahoma"/>
            <family val="2"/>
          </rPr>
          <t xml:space="preserve">
</t>
        </r>
      </text>
    </comment>
    <comment ref="P26" authorId="0" shapeId="0" xr:uid="{99F78C16-A0DB-46AC-A412-FAFD262BFFF0}">
      <text>
        <r>
          <rPr>
            <b/>
            <sz val="9"/>
            <color indexed="81"/>
            <rFont val="Tahoma"/>
            <family val="2"/>
          </rPr>
          <t xml:space="preserve">Flows to "Operating' worksheet cell D37.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George Rodine</author>
    <author>Russ Schmunk</author>
    <author>grodine</author>
    <author>Debra Starbuck</author>
  </authors>
  <commentList>
    <comment ref="A2" authorId="0" shapeId="0" xr:uid="{3A7BADE3-FCF2-48AB-94B3-9A69705ADF69}">
      <text>
        <r>
          <rPr>
            <b/>
            <sz val="9"/>
            <color indexed="81"/>
            <rFont val="Tahoma"/>
            <family val="2"/>
          </rPr>
          <t xml:space="preserve">xii. “Enforceable Funding Commitment” means a letter or other document, in form and substance satisfactory to the Department, which evidences an enforceable commitment of funds or a reservation of funds by a Project funding source, and which contains the following: 
</t>
        </r>
        <r>
          <rPr>
            <sz val="9"/>
            <color indexed="81"/>
            <rFont val="Tahoma"/>
            <family val="2"/>
          </rPr>
          <t xml:space="preserve">a. The name of the Applicant or Grantee; 
b. The Project name; 
c. The Project site address, assessor’s parcel number, or legal description; and 
d. The amount, interest rate (if any), and terms of the funding source.
The Enforceable Funding Commitment may be conditioned on certain standard underwriting criteria, such as appraisals, but may not be generally conditional. Examples of unacceptable general conditions include phrases such as “subject to senior management approval,” or a statement that omits the word “commitment,” but instead indicates the lender’s “willingness to process an application” or indicates that financing is subject to loan committee approval of the Project. Contingencies in commitment documents based upon the receipt of tax-exempt bonds or low-income housing tax credits will not disqualify a source from being counted as committed.
</t>
        </r>
      </text>
    </comment>
    <comment ref="G2" authorId="1" shapeId="0" xr:uid="{5C7A38E3-4122-49DB-9FB8-9495A100B8DF}">
      <text>
        <r>
          <rPr>
            <sz val="8"/>
            <color indexed="8"/>
            <rFont val="Tahoma"/>
            <family val="2"/>
          </rPr>
          <t xml:space="preserve">If no lien, put "NA".
</t>
        </r>
      </text>
    </comment>
    <comment ref="M2" authorId="2" shapeId="0" xr:uid="{9D0B4A7E-7B05-415D-8A3E-8AAA04FC0846}">
      <text>
        <r>
          <rPr>
            <sz val="8"/>
            <color indexed="81"/>
            <rFont val="Tahoma"/>
            <family val="2"/>
          </rPr>
          <t>Do not include residual receipts payments.  Show only "must pay" residential 
debt service.</t>
        </r>
      </text>
    </comment>
    <comment ref="I3" authorId="3" shapeId="0" xr:uid="{9DC10792-BE17-491F-A910-321DBB804BD9}">
      <text>
        <r>
          <rPr>
            <sz val="9"/>
            <color indexed="8"/>
            <rFont val="Tahoma"/>
            <family val="2"/>
          </rPr>
          <t>Select the amortization period that the interest rate is based on; i.e.., fixed, variable, fixed with reset, etc.</t>
        </r>
      </text>
    </comment>
    <comment ref="H4" authorId="0" shapeId="0" xr:uid="{6EE9152D-6B4D-4866-9C7F-602319B22BE0}">
      <text>
        <r>
          <rPr>
            <b/>
            <sz val="9"/>
            <color indexed="81"/>
            <rFont val="Tahoma"/>
            <family val="2"/>
          </rPr>
          <t>If shaded red, HCD funding amount here exceeds Maximum funding amount shown in cell E30.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George Rodine</author>
  </authors>
  <commentList>
    <comment ref="B2" authorId="0" shapeId="0" xr:uid="{8DA55784-D392-4DE6-9F08-E856734FAA78}">
      <text>
        <r>
          <rPr>
            <sz val="9"/>
            <color indexed="81"/>
            <rFont val="Tahoma"/>
            <family val="2"/>
          </rPr>
          <t xml:space="preserve">If shaded red, budgeted amount below does not equal permanent source amount on Dev Sources worksheet.
</t>
        </r>
      </text>
    </comment>
    <comment ref="C2" authorId="0" shapeId="0" xr:uid="{9A97EE32-47A5-4612-99CF-64E4BFF8211B}">
      <text>
        <r>
          <rPr>
            <sz val="9"/>
            <color indexed="81"/>
            <rFont val="Tahoma"/>
            <family val="2"/>
          </rPr>
          <t xml:space="preserve">If shaded red, budgeted amount below does not equal permanent source amount on Dev Sources worksheet.
</t>
        </r>
      </text>
    </comment>
    <comment ref="D2" authorId="0" shapeId="0" xr:uid="{91799FE6-4407-4862-B6CF-C932A96CFD81}">
      <text>
        <r>
          <rPr>
            <sz val="9"/>
            <color indexed="81"/>
            <rFont val="Tahoma"/>
            <family val="2"/>
          </rPr>
          <t xml:space="preserve">If shaded red, budgeted amount below does not equal permanent source amount on Dev Sources worksheet.
</t>
        </r>
      </text>
    </comment>
    <comment ref="E2" authorId="0" shapeId="0" xr:uid="{4B00D74E-3F71-47A5-B099-C5C1567EC374}">
      <text>
        <r>
          <rPr>
            <sz val="9"/>
            <color indexed="81"/>
            <rFont val="Tahoma"/>
            <family val="2"/>
          </rPr>
          <t xml:space="preserve">If shaded red, budgeted amount below does not equal permanent source amount on Dev Sources worksheet.
</t>
        </r>
      </text>
    </comment>
    <comment ref="F2" authorId="0" shapeId="0" xr:uid="{ECA9B06C-15AE-4443-BBB3-442074F5CCAF}">
      <text>
        <r>
          <rPr>
            <sz val="9"/>
            <color indexed="81"/>
            <rFont val="Tahoma"/>
            <family val="2"/>
          </rPr>
          <t xml:space="preserve">If shaded red, budgeted amount below does not equal permanent source amount on Dev Sources worksheet.
</t>
        </r>
      </text>
    </comment>
    <comment ref="G2" authorId="0" shapeId="0" xr:uid="{7E88E283-F042-4E86-B998-3424F3765489}">
      <text>
        <r>
          <rPr>
            <sz val="9"/>
            <color indexed="81"/>
            <rFont val="Tahoma"/>
            <family val="2"/>
          </rPr>
          <t xml:space="preserve">If shaded red, budgeted amount below does not equal permanent source amount on Dev Sources worksheet.
</t>
        </r>
      </text>
    </comment>
    <comment ref="H2" authorId="0" shapeId="0" xr:uid="{35FF3107-2609-46D5-A610-6E28A9A76CAB}">
      <text>
        <r>
          <rPr>
            <sz val="9"/>
            <color indexed="81"/>
            <rFont val="Tahoma"/>
            <family val="2"/>
          </rPr>
          <t xml:space="preserve">If shaded red, budgeted amount below does not equal permanent source amount on Dev Sources worksheet.
</t>
        </r>
      </text>
    </comment>
    <comment ref="I2" authorId="0" shapeId="0" xr:uid="{D46D34AC-A8F8-4112-A042-4377DCD164E2}">
      <text>
        <r>
          <rPr>
            <sz val="9"/>
            <color indexed="81"/>
            <rFont val="Tahoma"/>
            <family val="2"/>
          </rPr>
          <t xml:space="preserve">If shaded red, budgeted amount below does not equal permanent source amount on Dev Sources worksheet.
</t>
        </r>
      </text>
    </comment>
    <comment ref="J2" authorId="0" shapeId="0" xr:uid="{EBFE4814-D77B-4B14-A6E1-C08DD70D2520}">
      <text>
        <r>
          <rPr>
            <sz val="9"/>
            <color indexed="81"/>
            <rFont val="Tahoma"/>
            <family val="2"/>
          </rPr>
          <t xml:space="preserve">If shaded red, budgeted amount below does not equal permanent source amount on Dev Sources worksheet.
</t>
        </r>
      </text>
    </comment>
    <comment ref="K2" authorId="0" shapeId="0" xr:uid="{00A2F217-2727-42E7-9356-A770611AC705}">
      <text>
        <r>
          <rPr>
            <sz val="9"/>
            <color indexed="81"/>
            <rFont val="Tahoma"/>
            <family val="2"/>
          </rPr>
          <t xml:space="preserve">If shaded red, budgeted amount below does not equal permanent source amount on Dev Sources worksheet.
</t>
        </r>
      </text>
    </comment>
    <comment ref="A62" authorId="0" shapeId="0" xr:uid="{94D3D876-6949-41CB-A23C-D1D78C7AF952}">
      <text>
        <r>
          <rPr>
            <sz val="9"/>
            <color indexed="81"/>
            <rFont val="Tahoma"/>
            <family val="2"/>
          </rPr>
          <t>Provide eligible AHD Employment Benefits</t>
        </r>
        <r>
          <rPr>
            <b/>
            <sz val="9"/>
            <color indexed="81"/>
            <rFont val="Tahoma"/>
            <family val="2"/>
          </rPr>
          <t xml:space="preserve"> </t>
        </r>
        <r>
          <rPr>
            <sz val="9"/>
            <color indexed="81"/>
            <rFont val="Tahoma"/>
            <family val="2"/>
          </rPr>
          <t xml:space="preserve">and Outcomes Reporting costs (as defined in the Guidelines) not including other HRI Soft Costs.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Richard</author>
    <author>rschmunk</author>
    <author>Debra Starbuck</author>
    <author>grodine</author>
    <author>Russ Schmunk</author>
    <author>mpope</author>
    <author>George Rodine</author>
    <author>Administrator</author>
  </authors>
  <commentList>
    <comment ref="A5" authorId="0" shapeId="0" xr:uid="{CA18A678-428F-4361-ADCE-F57CBB1F7C85}">
      <text>
        <r>
          <rPr>
            <sz val="8"/>
            <color indexed="8"/>
            <rFont val="Tahoma"/>
            <family val="2"/>
          </rPr>
          <t>Number of employees</t>
        </r>
        <r>
          <rPr>
            <b/>
            <sz val="8"/>
            <color indexed="8"/>
            <rFont val="Tahoma"/>
            <family val="2"/>
          </rPr>
          <t>.</t>
        </r>
      </text>
    </comment>
    <comment ref="B5" authorId="1" shapeId="0" xr:uid="{42223F2A-90EC-4094-B5A5-23A371878119}">
      <text>
        <r>
          <rPr>
            <sz val="8"/>
            <color indexed="8"/>
            <rFont val="Tahoma"/>
            <family val="2"/>
          </rPr>
          <t>Number of full-time equivalent employees.  E.g. 3 people working 0.5 time = 1.5 FTE.</t>
        </r>
      </text>
    </comment>
    <comment ref="D6" authorId="1" shapeId="0" xr:uid="{7F7564BF-E8DA-46B4-9AFC-9158740FBF14}">
      <text>
        <r>
          <rPr>
            <sz val="8"/>
            <color indexed="8"/>
            <rFont val="Tahoma"/>
            <family val="2"/>
          </rPr>
          <t>Rolls to Account No. 6330 below.</t>
        </r>
      </text>
    </comment>
    <comment ref="E6" authorId="2" shapeId="0" xr:uid="{3191BEEE-3460-464B-8524-BDB6D26EC13F}">
      <text>
        <r>
          <rPr>
            <sz val="8"/>
            <color indexed="8"/>
            <rFont val="Tahoma"/>
            <family val="2"/>
          </rPr>
          <t>Rolls  to Account No. 6331 below.</t>
        </r>
      </text>
    </comment>
    <comment ref="D7" authorId="1" shapeId="0" xr:uid="{27F5D2E2-DABB-4B27-9FAA-12D0B249EDF1}">
      <text>
        <r>
          <rPr>
            <sz val="8"/>
            <color indexed="8"/>
            <rFont val="Tahoma"/>
            <family val="2"/>
          </rPr>
          <t>Rolls to Account No. 6330 below.</t>
        </r>
      </text>
    </comment>
    <comment ref="E7" authorId="2" shapeId="0" xr:uid="{13FE1AA9-1834-4401-A8F1-2FFD40442798}">
      <text>
        <r>
          <rPr>
            <sz val="8"/>
            <color indexed="8"/>
            <rFont val="Tahoma"/>
            <family val="2"/>
          </rPr>
          <t>Rolls  to Account No. 6331 below.</t>
        </r>
      </text>
    </comment>
    <comment ref="D8" authorId="1" shapeId="0" xr:uid="{40B2157C-B1F8-4A5C-A1BF-E20C833343C2}">
      <text>
        <r>
          <rPr>
            <sz val="8"/>
            <color indexed="8"/>
            <rFont val="Tahoma"/>
            <family val="2"/>
          </rPr>
          <t>Rolls to Account No. 6990 below.</t>
        </r>
      </text>
    </comment>
    <comment ref="E8" authorId="2" shapeId="0" xr:uid="{1A71783F-7C1D-4CEB-876F-B848B2632FEC}">
      <text>
        <r>
          <rPr>
            <sz val="8"/>
            <color indexed="8"/>
            <rFont val="Tahoma"/>
            <family val="2"/>
          </rPr>
          <t>Rolls  to Account No. 6331 below.</t>
        </r>
      </text>
    </comment>
    <comment ref="D9" authorId="1" shapeId="0" xr:uid="{BC4FA587-786C-4C97-B0FF-2665147B995A}">
      <text>
        <r>
          <rPr>
            <sz val="8"/>
            <color indexed="8"/>
            <rFont val="Tahoma"/>
            <family val="2"/>
          </rPr>
          <t>Rolls to Account No. 6990 below.</t>
        </r>
      </text>
    </comment>
    <comment ref="E9" authorId="3" shapeId="0" xr:uid="{5989A0FD-8055-41FF-95FC-D61174672B1B}">
      <text>
        <r>
          <rPr>
            <sz val="8"/>
            <color indexed="81"/>
            <rFont val="Tahoma"/>
            <family val="2"/>
          </rPr>
          <t>Rolls to Account No. 6331 below.</t>
        </r>
        <r>
          <rPr>
            <sz val="8"/>
            <color indexed="81"/>
            <rFont val="Tahoma"/>
            <family val="2"/>
          </rPr>
          <t xml:space="preserve">
</t>
        </r>
      </text>
    </comment>
    <comment ref="D10" authorId="1" shapeId="0" xr:uid="{7E3B127C-1421-4CAE-A835-4300FA998529}">
      <text>
        <r>
          <rPr>
            <sz val="8"/>
            <color indexed="8"/>
            <rFont val="Tahoma"/>
            <family val="2"/>
          </rPr>
          <t>Rolls to Account No. 6990 below.</t>
        </r>
      </text>
    </comment>
    <comment ref="E10" authorId="2" shapeId="0" xr:uid="{DB4A9877-A6C0-44C9-8F60-264C424F0565}">
      <text>
        <r>
          <rPr>
            <sz val="8"/>
            <color indexed="8"/>
            <rFont val="Tahoma"/>
            <family val="2"/>
          </rPr>
          <t>Rolls  to Account No. 6331 below.</t>
        </r>
      </text>
    </comment>
    <comment ref="D11" authorId="1" shapeId="0" xr:uid="{AF09A741-158C-454D-A737-1E0BD3BF7128}">
      <text>
        <r>
          <rPr>
            <sz val="8"/>
            <color indexed="8"/>
            <rFont val="Tahoma"/>
            <family val="2"/>
          </rPr>
          <t>Rolls to Account No. 6510 below.</t>
        </r>
      </text>
    </comment>
    <comment ref="E11" authorId="2" shapeId="0" xr:uid="{0EAE1D29-E08A-40C7-8F64-09118BF4FF32}">
      <text>
        <r>
          <rPr>
            <sz val="8"/>
            <color indexed="8"/>
            <rFont val="Tahoma"/>
            <family val="2"/>
          </rPr>
          <t>Rolls  to Account No. 6521 below.</t>
        </r>
      </text>
    </comment>
    <comment ref="D12" authorId="4" shapeId="0" xr:uid="{EF13E4F0-1080-43A9-B542-39F9A0FE2B29}">
      <text>
        <r>
          <rPr>
            <sz val="8"/>
            <color indexed="81"/>
            <rFont val="Tahoma"/>
            <family val="2"/>
          </rPr>
          <t>Rolls to Account No. 6310 below.</t>
        </r>
      </text>
    </comment>
    <comment ref="E12" authorId="2" shapeId="0" xr:uid="{697AEC06-E407-483C-8C71-51C5AA3D144A}">
      <text>
        <r>
          <rPr>
            <sz val="8"/>
            <color indexed="8"/>
            <rFont val="Tahoma"/>
            <family val="2"/>
          </rPr>
          <t>Rolls to Account No. 6331 below.</t>
        </r>
      </text>
    </comment>
    <comment ref="D13" authorId="1" shapeId="0" xr:uid="{380D4915-F67B-4759-9D4D-19685ADA80E6}">
      <text>
        <r>
          <rPr>
            <sz val="8"/>
            <color indexed="8"/>
            <rFont val="Tahoma"/>
            <family val="2"/>
          </rPr>
          <t>Rolls to Account No. 6510 below.</t>
        </r>
      </text>
    </comment>
    <comment ref="E13" authorId="1" shapeId="0" xr:uid="{E1CACE13-9959-4DD2-B46B-651222C46999}">
      <text>
        <r>
          <rPr>
            <sz val="8"/>
            <color indexed="8"/>
            <rFont val="Tahoma"/>
            <family val="2"/>
          </rPr>
          <t>Rolls to Account No. 6531 below.</t>
        </r>
      </text>
    </comment>
    <comment ref="C14" authorId="2" shapeId="0" xr:uid="{DE46612F-864C-40D0-BBE9-431F69C8C19E}">
      <text>
        <r>
          <rPr>
            <sz val="9"/>
            <color indexed="8"/>
            <rFont val="Tahoma"/>
            <family val="2"/>
          </rPr>
          <t xml:space="preserve">List any other employees positions included in project operating expenses. </t>
        </r>
      </text>
    </comment>
    <comment ref="D14" authorId="3" shapeId="0" xr:uid="{C0988924-FE3D-46FA-93CB-224DAC841DEF}">
      <text>
        <r>
          <rPr>
            <sz val="8"/>
            <color indexed="81"/>
            <rFont val="Tahoma"/>
            <family val="2"/>
          </rPr>
          <t>Rolls to Account No. 6510 below.</t>
        </r>
      </text>
    </comment>
    <comment ref="E14" authorId="3" shapeId="0" xr:uid="{A232C5BB-289D-4C33-8383-B9C215F8CB09}">
      <text>
        <r>
          <rPr>
            <sz val="8"/>
            <color indexed="81"/>
            <rFont val="Tahoma"/>
            <family val="2"/>
          </rPr>
          <t>Rolls to Account No. 6521 below.</t>
        </r>
        <r>
          <rPr>
            <sz val="8"/>
            <color indexed="81"/>
            <rFont val="Tahoma"/>
            <family val="2"/>
          </rPr>
          <t xml:space="preserve">
</t>
        </r>
      </text>
    </comment>
    <comment ref="C15" authorId="2" shapeId="0" xr:uid="{E919616A-3281-4025-841D-8036B91FAD6F}">
      <text>
        <r>
          <rPr>
            <sz val="9"/>
            <color indexed="8"/>
            <rFont val="Tahoma"/>
            <family val="2"/>
          </rPr>
          <t xml:space="preserve">List any other employees positions included in project operating expenses. </t>
        </r>
      </text>
    </comment>
    <comment ref="D15" authorId="3" shapeId="0" xr:uid="{8EA95961-EAED-4E52-9857-A0FD943D388C}">
      <text>
        <r>
          <rPr>
            <sz val="8"/>
            <color indexed="81"/>
            <rFont val="Tahoma"/>
            <family val="2"/>
          </rPr>
          <t>Rolls to Account No. 6510 below.</t>
        </r>
        <r>
          <rPr>
            <sz val="8"/>
            <color indexed="81"/>
            <rFont val="Tahoma"/>
            <family val="2"/>
          </rPr>
          <t xml:space="preserve">
</t>
        </r>
      </text>
    </comment>
    <comment ref="E15" authorId="3" shapeId="0" xr:uid="{19C20BEA-D8B9-4198-9373-36C223BD7885}">
      <text>
        <r>
          <rPr>
            <sz val="8"/>
            <color indexed="81"/>
            <rFont val="Tahoma"/>
            <family val="2"/>
          </rPr>
          <t>Rolls to Account No. 6521 below.</t>
        </r>
        <r>
          <rPr>
            <sz val="8"/>
            <color indexed="81"/>
            <rFont val="Tahoma"/>
            <family val="2"/>
          </rPr>
          <t xml:space="preserve">
</t>
        </r>
      </text>
    </comment>
    <comment ref="D17" authorId="3" shapeId="0" xr:uid="{5F3B1967-445B-4F6F-AA65-195D0560B582}">
      <text>
        <r>
          <rPr>
            <sz val="8"/>
            <color indexed="81"/>
            <rFont val="Tahoma"/>
            <family val="2"/>
          </rPr>
          <t>Rolls to Account No. 6711 below.</t>
        </r>
        <r>
          <rPr>
            <sz val="8"/>
            <color indexed="81"/>
            <rFont val="Tahoma"/>
            <family val="2"/>
          </rPr>
          <t xml:space="preserve">
</t>
        </r>
      </text>
    </comment>
    <comment ref="D18" authorId="3" shapeId="0" xr:uid="{A2CEEC2B-3893-4024-997F-588A3EE7609E}">
      <text>
        <r>
          <rPr>
            <sz val="8"/>
            <color indexed="81"/>
            <rFont val="Tahoma"/>
            <family val="2"/>
          </rPr>
          <t>Rolls to Account No. 6722 below.</t>
        </r>
        <r>
          <rPr>
            <sz val="8"/>
            <color indexed="81"/>
            <rFont val="Tahoma"/>
            <family val="2"/>
          </rPr>
          <t xml:space="preserve">
</t>
        </r>
      </text>
    </comment>
    <comment ref="E18" authorId="1" shapeId="0" xr:uid="{050985F7-C147-49D5-BB58-EEF0229E5C44}">
      <text>
        <r>
          <rPr>
            <sz val="8"/>
            <color indexed="81"/>
            <rFont val="Tahoma"/>
            <family val="2"/>
          </rPr>
          <t xml:space="preserve">The alternative is to not show income from employee units.
</t>
        </r>
      </text>
    </comment>
    <comment ref="D19" authorId="3" shapeId="0" xr:uid="{CB7E701A-EB1B-4425-AB3B-AD9687635BF5}">
      <text>
        <r>
          <rPr>
            <sz val="8"/>
            <color indexed="81"/>
            <rFont val="Tahoma"/>
            <family val="2"/>
          </rPr>
          <t>Rolls to Account No. 6723 below.</t>
        </r>
      </text>
    </comment>
    <comment ref="A25" authorId="5" shapeId="0" xr:uid="{4CD92CB1-59DA-4628-A481-6B9D104D5B78}">
      <text>
        <r>
          <rPr>
            <sz val="8"/>
            <color indexed="81"/>
            <rFont val="Tahoma"/>
            <family val="2"/>
          </rPr>
          <t xml:space="preserve">Income restriction level, expressed as a % of AMI.  </t>
        </r>
      </text>
    </comment>
    <comment ref="D33" authorId="3" shapeId="0" xr:uid="{2C149DA5-DE97-4EB4-AE9A-406262E29423}">
      <text>
        <r>
          <rPr>
            <sz val="8"/>
            <color indexed="81"/>
            <rFont val="Tahoma"/>
            <family val="2"/>
          </rPr>
          <t>Rolls from Cash Flow sheet.</t>
        </r>
        <r>
          <rPr>
            <sz val="8"/>
            <color indexed="81"/>
            <rFont val="Tahoma"/>
            <family val="2"/>
          </rPr>
          <t xml:space="preserve">
</t>
        </r>
      </text>
    </comment>
    <comment ref="D34" authorId="3" shapeId="0" xr:uid="{310BF288-8D74-4AF4-8BAA-742285A1782B}">
      <text>
        <r>
          <rPr>
            <sz val="8"/>
            <color indexed="81"/>
            <rFont val="Tahoma"/>
            <family val="2"/>
          </rPr>
          <t>Rolls from Cash Flow sheet.</t>
        </r>
        <r>
          <rPr>
            <sz val="8"/>
            <color indexed="81"/>
            <rFont val="Tahoma"/>
            <family val="2"/>
          </rPr>
          <t xml:space="preserve">
</t>
        </r>
      </text>
    </comment>
    <comment ref="D36" authorId="3" shapeId="0" xr:uid="{779D6DEB-2914-43A3-B7EB-D2F8A73E8807}">
      <text>
        <r>
          <rPr>
            <sz val="8"/>
            <color indexed="81"/>
            <rFont val="Tahoma"/>
            <family val="2"/>
          </rPr>
          <t xml:space="preserve">Rolls from Award, Match, Revenue sheet.
</t>
        </r>
      </text>
    </comment>
    <comment ref="D37" authorId="3" shapeId="0" xr:uid="{51D78F7D-1864-4AC4-A7AE-79234689A67F}">
      <text>
        <r>
          <rPr>
            <sz val="8"/>
            <color indexed="81"/>
            <rFont val="Tahoma"/>
            <family val="2"/>
          </rPr>
          <t xml:space="preserve">Rolls from Award, Match, Revenue sheet.
</t>
        </r>
      </text>
    </comment>
    <comment ref="C38" authorId="6" shapeId="0" xr:uid="{D9806813-F078-4BBF-B65D-8B01F80EEA06}">
      <text>
        <r>
          <rPr>
            <sz val="9"/>
            <color indexed="81"/>
            <rFont val="Tahoma"/>
            <family val="2"/>
          </rPr>
          <t>Use Comments cells as needed to provide details.</t>
        </r>
      </text>
    </comment>
    <comment ref="C39" authorId="6" shapeId="0" xr:uid="{77614D1E-5578-4388-BBEB-2440BE740146}">
      <text>
        <r>
          <rPr>
            <sz val="9"/>
            <color indexed="81"/>
            <rFont val="Tahoma"/>
            <family val="2"/>
          </rPr>
          <t>Use Comments cells as needed to provide details.</t>
        </r>
      </text>
    </comment>
    <comment ref="C68" authorId="6" shapeId="0" xr:uid="{A1C2A4B7-21BD-4375-A3A6-16D50A8A425F}">
      <text>
        <r>
          <rPr>
            <sz val="9"/>
            <color indexed="81"/>
            <rFont val="Tahoma"/>
            <family val="2"/>
          </rPr>
          <t>Use Comments cells to provide expense details.</t>
        </r>
      </text>
    </comment>
    <comment ref="C76" authorId="6" shapeId="0" xr:uid="{1604B98B-5F15-46AE-BABA-79809D581F9C}">
      <text>
        <r>
          <rPr>
            <sz val="9"/>
            <color indexed="81"/>
            <rFont val="Tahoma"/>
            <family val="2"/>
          </rPr>
          <t>Use Comments cells as needed to provide details.</t>
        </r>
      </text>
    </comment>
    <comment ref="C89" authorId="6" shapeId="0" xr:uid="{BE1F5B06-36BF-4869-BEBC-A54C8B9D848E}">
      <text>
        <r>
          <rPr>
            <sz val="9"/>
            <color indexed="81"/>
            <rFont val="Tahoma"/>
            <family val="2"/>
          </rPr>
          <t>Use Comments cells to provide expense details.</t>
        </r>
      </text>
    </comment>
    <comment ref="D92" authorId="4" shapeId="0" xr:uid="{CEC287FB-EAE7-4A0D-BD04-284A6626086C}">
      <text>
        <r>
          <rPr>
            <sz val="8"/>
            <color indexed="81"/>
            <rFont val="Tahoma"/>
            <family val="2"/>
          </rPr>
          <t xml:space="preserve">Including assessments.
</t>
        </r>
      </text>
    </comment>
    <comment ref="E92" authorId="4" shapeId="0" xr:uid="{4F10D351-2D2A-469A-8FC2-A7604E725723}">
      <text>
        <r>
          <rPr>
            <sz val="8"/>
            <color indexed="81"/>
            <rFont val="Tahoma"/>
            <family val="2"/>
          </rPr>
          <t xml:space="preserve">Including assessments.
</t>
        </r>
      </text>
    </comment>
    <comment ref="C99" authorId="6" shapeId="0" xr:uid="{00CA53D7-18C4-4545-AE85-574026F11F85}">
      <text>
        <r>
          <rPr>
            <sz val="9"/>
            <color indexed="81"/>
            <rFont val="Tahoma"/>
            <family val="2"/>
          </rPr>
          <t>Use Comments cells to provide expense details.</t>
        </r>
      </text>
    </comment>
    <comment ref="C114" authorId="5" shapeId="0" xr:uid="{B73ABF6B-AF15-473F-A88A-10F4BFCFF5A2}">
      <text>
        <r>
          <rPr>
            <sz val="8"/>
            <color indexed="81"/>
            <rFont val="Tahoma"/>
            <family val="2"/>
          </rPr>
          <t>Reserves funded from operating cash flow only.  Do not include capitalized reserves.</t>
        </r>
      </text>
    </comment>
    <comment ref="C116" authorId="6" shapeId="0" xr:uid="{B5BE49FA-561C-4661-8DB1-11CA4B61320D}">
      <text>
        <r>
          <rPr>
            <sz val="9"/>
            <color indexed="81"/>
            <rFont val="Tahoma"/>
            <family val="2"/>
          </rPr>
          <t>Use Comments cells as needed to provide details.</t>
        </r>
      </text>
    </comment>
    <comment ref="C117" authorId="6" shapeId="0" xr:uid="{C6E78FE1-EC7F-4DC5-9ED1-DF7A23D230E5}">
      <text>
        <r>
          <rPr>
            <sz val="9"/>
            <color indexed="81"/>
            <rFont val="Tahoma"/>
            <family val="2"/>
          </rPr>
          <t>Use Comments cells as needed to provide details.</t>
        </r>
      </text>
    </comment>
    <comment ref="C118" authorId="6" shapeId="0" xr:uid="{1F60B2DD-66B0-44B1-8B70-C7D315954904}">
      <text>
        <r>
          <rPr>
            <sz val="9"/>
            <color indexed="81"/>
            <rFont val="Tahoma"/>
            <family val="2"/>
          </rPr>
          <t>Use Comments cells as needed to provide details.</t>
        </r>
      </text>
    </comment>
    <comment ref="C126" authorId="7" shapeId="0" xr:uid="{1D801CA3-9E70-4663-B74B-13508D04923D}">
      <text>
        <r>
          <rPr>
            <sz val="9"/>
            <color indexed="81"/>
            <rFont val="Tahoma"/>
            <family val="2"/>
          </rPr>
          <t>Required Residential Debt Service: Do not include residual receipts payments.  Show only "must pay" residential debt service.</t>
        </r>
      </text>
    </comment>
    <comment ref="C127" authorId="7" shapeId="0" xr:uid="{521E60F4-E37E-463C-997D-C3894F181B5C}">
      <text>
        <r>
          <rPr>
            <sz val="9"/>
            <color indexed="81"/>
            <rFont val="Tahoma"/>
            <family val="2"/>
          </rPr>
          <t>Required Residential Debt Service: Do not include residual receipts payments.  Show only "must pay" residential debt service.</t>
        </r>
      </text>
    </comment>
    <comment ref="C128" authorId="7" shapeId="0" xr:uid="{D7D72B05-3F00-429E-898A-2237CC2B2D27}">
      <text>
        <r>
          <rPr>
            <sz val="9"/>
            <color indexed="81"/>
            <rFont val="Tahoma"/>
            <family val="2"/>
          </rPr>
          <t>Required Residential Debt Service: Do not include residual receipts payments.  Show only "must pay" residential debt service.</t>
        </r>
      </text>
    </comment>
    <comment ref="C129" authorId="6" shapeId="0" xr:uid="{81CD9E52-B0AB-43A1-B8B9-D38B86A60F27}">
      <text>
        <r>
          <rPr>
            <sz val="9"/>
            <color indexed="81"/>
            <rFont val="Tahoma"/>
            <family val="2"/>
          </rPr>
          <t>Use Comments cells as needed to provide details.</t>
        </r>
      </text>
    </comment>
    <comment ref="C130" authorId="6" shapeId="0" xr:uid="{A1A1FA2F-18AE-4260-90B9-A229CBF09E90}">
      <text>
        <r>
          <rPr>
            <sz val="9"/>
            <color indexed="81"/>
            <rFont val="Tahoma"/>
            <family val="2"/>
          </rPr>
          <t>Use Comments cells as needed to provide details.</t>
        </r>
      </text>
    </comment>
    <comment ref="C131" authorId="6" shapeId="0" xr:uid="{1828F401-B994-4C34-87E9-9F97B86BF7F9}">
      <text>
        <r>
          <rPr>
            <sz val="9"/>
            <color indexed="81"/>
            <rFont val="Tahoma"/>
            <family val="2"/>
          </rPr>
          <t>Use Comments cells as needed to provide details.</t>
        </r>
      </text>
    </comment>
    <comment ref="C132" authorId="6" shapeId="0" xr:uid="{905AB3C8-C823-4784-95A1-AEFA97152FD0}">
      <text>
        <r>
          <rPr>
            <sz val="9"/>
            <color indexed="81"/>
            <rFont val="Tahoma"/>
            <family val="2"/>
          </rPr>
          <t>Use Comments cells as needed to provide details.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Information Technology</author>
    <author>rschmunk</author>
    <author>eabdala</author>
    <author>Debra Starbuck</author>
    <author>grodine</author>
  </authors>
  <commentList>
    <comment ref="A5" authorId="0" shapeId="0" xr:uid="{ADF621F4-29FB-46BC-8275-547F185E5A93}">
      <text>
        <r>
          <rPr>
            <sz val="9"/>
            <color indexed="8"/>
            <rFont val="Tahoma"/>
            <family val="2"/>
          </rPr>
          <t>This should represent income from all regulated and income restricted rental units.</t>
        </r>
      </text>
    </comment>
    <comment ref="A6" authorId="0" shapeId="0" xr:uid="{CB97892F-CA94-47C1-A73E-B695FB7AF0F1}">
      <text>
        <r>
          <rPr>
            <sz val="9"/>
            <color indexed="8"/>
            <rFont val="Tahoma"/>
            <family val="2"/>
          </rPr>
          <t>This may include manager's units that aren't regulated by income restrictions - or market rate units</t>
        </r>
        <r>
          <rPr>
            <sz val="8"/>
            <color indexed="8"/>
            <rFont val="Tahoma"/>
            <family val="2"/>
          </rPr>
          <t>.</t>
        </r>
      </text>
    </comment>
    <comment ref="A7" authorId="1" shapeId="0" xr:uid="{7C7885D9-235E-4936-86D7-722D3C82145B}">
      <text>
        <r>
          <rPr>
            <sz val="9"/>
            <color indexed="81"/>
            <rFont val="Tahoma"/>
            <family val="2"/>
          </rPr>
          <t>Aka rent subsidies. Calculated as the contract rent amount minus the restricted amount -- actual subsidies will likely be greater</t>
        </r>
      </text>
    </comment>
    <comment ref="A16" authorId="2" shapeId="0" xr:uid="{5D225BA4-5808-42A0-8383-DA00F3F1F3D0}">
      <text>
        <r>
          <rPr>
            <sz val="9"/>
            <color indexed="81"/>
            <rFont val="Tahoma"/>
            <family val="2"/>
          </rPr>
          <t>Garage &amp; Parking Spaces and Other Miscellaneous Rent Revenue</t>
        </r>
      </text>
    </comment>
    <comment ref="C47" authorId="3" shapeId="0" xr:uid="{51A6E2D4-7D43-42CC-8508-43C1BF51DC19}">
      <text>
        <r>
          <rPr>
            <sz val="9"/>
            <color indexed="8"/>
            <rFont val="Tahoma"/>
            <family val="2"/>
          </rPr>
          <t xml:space="preserve">This figure is excluded from Total Debt Service </t>
        </r>
      </text>
    </comment>
    <comment ref="D62" authorId="4" shapeId="0" xr:uid="{145F9F97-AC2F-4F00-97AA-2F2E429F5027}">
      <text>
        <r>
          <rPr>
            <sz val="9"/>
            <color indexed="81"/>
            <rFont val="Tahoma"/>
            <family val="2"/>
          </rPr>
          <t>Rolls from Operating sheet Account No. 7190 (Asset Management/Similar Fees), which is below the Cash Flow line on the Operating sheet.</t>
        </r>
      </text>
    </comment>
  </commentList>
</comments>
</file>

<file path=xl/sharedStrings.xml><?xml version="1.0" encoding="utf-8"?>
<sst xmlns="http://schemas.openxmlformats.org/spreadsheetml/2006/main" count="3153" uniqueCount="2273">
  <si>
    <t>Homekey Round 2</t>
  </si>
  <si>
    <t>Notice of Funding Availability (NOFA) September 9, 2021</t>
  </si>
  <si>
    <t>Application Workbook</t>
  </si>
  <si>
    <t>Rev.</t>
  </si>
  <si>
    <t>State of California</t>
  </si>
  <si>
    <t>Governor Gavin Newsom</t>
  </si>
  <si>
    <t>Lourdes M. Castro Ramirez, Secretary</t>
  </si>
  <si>
    <t>Business, Consumer Services and Housing Agency</t>
  </si>
  <si>
    <t>Gustavo Velasquez, Director</t>
  </si>
  <si>
    <t>Department of Housing and Community Development</t>
  </si>
  <si>
    <t>2020 West El Camino Avenue</t>
  </si>
  <si>
    <t>Sacramento, CA 95833</t>
  </si>
  <si>
    <t xml:space="preserve">Phone: (916) 263-2771  </t>
  </si>
  <si>
    <t>Email: Homekey@hcd.ca.gov</t>
  </si>
  <si>
    <t>Website: https://homekey.hcd.ca.gov/</t>
  </si>
  <si>
    <t>Homekey Round 2 Project Overview</t>
  </si>
  <si>
    <t xml:space="preserve"> §401 Pre-Application Consultation Requirement</t>
  </si>
  <si>
    <t>Has the lead applicant (a public entity or tribal entity) undertaken a preapplication consultation with HCD regarding the proposed Homekey Project?</t>
  </si>
  <si>
    <t>Instructions</t>
  </si>
  <si>
    <t>"Yellow" shaded cells are for Applicant input. Failure to submit a complete application including the required documentation may result in the need for you to amend and resubmit your application resulting in your application's HCD review to be repositioned to the date of resubmittal.</t>
  </si>
  <si>
    <t xml:space="preserve">"Red" shaded cells indicate the Applicant has likely failed to meet a Homekey requirement. 'Applicant Scoring Criteria' worksheet cells shaded in "red" indicate that the Applicant has failed to meet the minimum points required. </t>
  </si>
  <si>
    <t>"Orange" shaded cells' indicated required attachments. Electronically attached files must use the naming convention in the Application. For Example: "Housing Site Map" for the map indicating the original target housing location and all proposed housing location(s).</t>
  </si>
  <si>
    <t>"Green" shaded cells indicate HCD Use Only.</t>
  </si>
  <si>
    <t>"Blue" shaded cells indicate Application scores.</t>
  </si>
  <si>
    <t xml:space="preserve">NOFA section references are made with "§" and the corresponding NOFA section number. </t>
  </si>
  <si>
    <t>Please don’t hesitate to contact us with any questions or if you need assistance in completing this application.</t>
  </si>
  <si>
    <r>
      <rPr>
        <sz val="11"/>
        <rFont val="Arial"/>
        <family val="2"/>
      </rPr>
      <t xml:space="preserve">For general Homekey NOFA and program questions email: </t>
    </r>
    <r>
      <rPr>
        <u/>
        <sz val="11"/>
        <color theme="10"/>
        <rFont val="Arial"/>
        <family val="2"/>
      </rPr>
      <t>homekey@hcd.ca.gov.</t>
    </r>
  </si>
  <si>
    <r>
      <rPr>
        <sz val="11"/>
        <rFont val="Arial"/>
        <family val="2"/>
      </rPr>
      <t xml:space="preserve">For application specific assistance complete the 'App Support' worksheet &amp; email your Excel application to: </t>
    </r>
    <r>
      <rPr>
        <u/>
        <sz val="11"/>
        <color theme="10"/>
        <rFont val="Arial"/>
        <family val="2"/>
      </rPr>
      <t>appsupport@hcd.ca.gov</t>
    </r>
  </si>
  <si>
    <t>Homekey Summary (auto populated from Award, Match and Revenue worksheet)</t>
  </si>
  <si>
    <t>Maximum Homekey Award</t>
  </si>
  <si>
    <t>Applicant Requested Homekey Award</t>
  </si>
  <si>
    <t>Lesser of Maximum and Requested Award</t>
  </si>
  <si>
    <t>Capital Baseline Award</t>
  </si>
  <si>
    <t>Additional Contribution</t>
  </si>
  <si>
    <t>Total Maximum Capital Award</t>
  </si>
  <si>
    <t>Total Requested Capital Award</t>
  </si>
  <si>
    <t>Total Capital Award</t>
  </si>
  <si>
    <t>Operating Subsidy</t>
  </si>
  <si>
    <t>50% of Relocation Costs</t>
  </si>
  <si>
    <t>§207 Bonus Award - app submittal</t>
  </si>
  <si>
    <t>§207 Bonus Award - full occupancy</t>
  </si>
  <si>
    <t>§207 Bonus Award-full occupancy</t>
  </si>
  <si>
    <t>Total Maximum Homekey Award</t>
  </si>
  <si>
    <t>Total Requested Homekey Award</t>
  </si>
  <si>
    <t>Total Homekey Award</t>
  </si>
  <si>
    <t>Number of Doors at Acquisition</t>
  </si>
  <si>
    <t>Number of Units Proposed in the Project</t>
  </si>
  <si>
    <t>Number of At-Risk of Homelessness Units</t>
  </si>
  <si>
    <t>Number of Chronically Homeless Units</t>
  </si>
  <si>
    <t>Number of Homeless Units</t>
  </si>
  <si>
    <t>Number of Homeless Youth or Youth at Risk of Homelessness Units</t>
  </si>
  <si>
    <t>Number of Assisted Units</t>
  </si>
  <si>
    <t>Number of Units accessible to persons with mobility disabilities</t>
  </si>
  <si>
    <t>Number of Units accessible to persons with hearing or vision disabilities</t>
  </si>
  <si>
    <t>Project Overview</t>
  </si>
  <si>
    <t>Project Name</t>
  </si>
  <si>
    <t>Project Address</t>
  </si>
  <si>
    <t>Project City</t>
  </si>
  <si>
    <t>State</t>
  </si>
  <si>
    <t>Zip</t>
  </si>
  <si>
    <t>Project County</t>
  </si>
  <si>
    <r>
      <rPr>
        <sz val="11"/>
        <rFont val="Arial"/>
        <family val="2"/>
      </rPr>
      <t xml:space="preserve">Is the Project in a Rural Area per H&amp;S Code §50199.21? </t>
    </r>
    <r>
      <rPr>
        <sz val="11"/>
        <color theme="10"/>
        <rFont val="Arial"/>
        <family val="2"/>
      </rPr>
      <t>(use the TCAC Method for determining rural status)</t>
    </r>
  </si>
  <si>
    <t>Assessor Parcel Number (APN)</t>
  </si>
  <si>
    <t>Enter parcel # 1 APN here</t>
  </si>
  <si>
    <t>Enter parcel # 2 APN here</t>
  </si>
  <si>
    <t>Enter parcel # 3 APN here</t>
  </si>
  <si>
    <t>Enter parcel # 4 APN here</t>
  </si>
  <si>
    <t>Enter parcel # 5 APN here</t>
  </si>
  <si>
    <t>Enter parcel # 6 APN here</t>
  </si>
  <si>
    <t>Enter parcel # 7 APN here</t>
  </si>
  <si>
    <t>Enter parcel # 8 APN here</t>
  </si>
  <si>
    <t>Enter parcel # 9 APN here</t>
  </si>
  <si>
    <t>Enter parcel # 10 APN here</t>
  </si>
  <si>
    <t>Enter parcel # 11 APN here</t>
  </si>
  <si>
    <t>Enter parcel # 12 APN here</t>
  </si>
  <si>
    <t>Enter parcel # 13 APN here</t>
  </si>
  <si>
    <t>Enter parcel # 14 APN here</t>
  </si>
  <si>
    <t>Enter parcel # 15 APN here</t>
  </si>
  <si>
    <t>Enter parcel # 16 APN here</t>
  </si>
  <si>
    <t>Enter parcel # 17 APN here</t>
  </si>
  <si>
    <t>Enter parcel # 18 APN here</t>
  </si>
  <si>
    <t>Enter parcel # 19 APN here</t>
  </si>
  <si>
    <t>Enter parcel # 20 APN here</t>
  </si>
  <si>
    <t>Enter parcel # 21 APN here</t>
  </si>
  <si>
    <t>Enter parcel # 22 APN here</t>
  </si>
  <si>
    <t>Geographic Set Aside</t>
  </si>
  <si>
    <t>Project Type (Transitional Housing and Congregate Shelter are Interim Housing)</t>
  </si>
  <si>
    <t>Building Type</t>
  </si>
  <si>
    <t>Other building type not listed above (describe below)</t>
  </si>
  <si>
    <t>Project Narrative</t>
  </si>
  <si>
    <t>If Project is also known under another name(s) or was formerly known under another name(s), provide the name(s).</t>
  </si>
  <si>
    <t>Have you applied, do you plan to apply, or has the Project been awarded other HCD program funds?</t>
  </si>
  <si>
    <t>Other HCD Program(s) Name(s):</t>
  </si>
  <si>
    <t>Funding Amount</t>
  </si>
  <si>
    <t>Funding Status</t>
  </si>
  <si>
    <t>NOFA Date</t>
  </si>
  <si>
    <t xml:space="preserve"> Award Date/Expected Award Date</t>
  </si>
  <si>
    <t>§200 Eligible Applicants</t>
  </si>
  <si>
    <t>Applicant #1</t>
  </si>
  <si>
    <t>Entity name</t>
  </si>
  <si>
    <t>Organization type</t>
  </si>
  <si>
    <t>Address</t>
  </si>
  <si>
    <t>City</t>
  </si>
  <si>
    <t>CA</t>
  </si>
  <si>
    <t>Auth Rep</t>
  </si>
  <si>
    <t>Title</t>
  </si>
  <si>
    <t>Email</t>
  </si>
  <si>
    <t>Phone</t>
  </si>
  <si>
    <t>Contact</t>
  </si>
  <si>
    <t>File Name</t>
  </si>
  <si>
    <t>App1 Cert &amp; Legal</t>
  </si>
  <si>
    <t>See Certifications &amp; Legal worksheet.</t>
  </si>
  <si>
    <t>Uploaded to HCD?</t>
  </si>
  <si>
    <t>App1 Resolution</t>
  </si>
  <si>
    <t>Signature required; see Applicant Documents worksheet.</t>
  </si>
  <si>
    <t>App1 TIN Form</t>
  </si>
  <si>
    <t>See Applicant Documents worksheet.</t>
  </si>
  <si>
    <t>Co-Applicant #1 (if applicable)</t>
  </si>
  <si>
    <t>Co-App1 Cert &amp; Legal</t>
  </si>
  <si>
    <t>Co-App1 Resolution</t>
  </si>
  <si>
    <t>Co-App1 OrgDoc1, OrgDoc2, etc</t>
  </si>
  <si>
    <t>Co-App1 OrgChart</t>
  </si>
  <si>
    <t>Co-App1 Signature Block</t>
  </si>
  <si>
    <t>Co-App1 Payee Data Record</t>
  </si>
  <si>
    <t>Co-App1 TIN Form</t>
  </si>
  <si>
    <t xml:space="preserve">Co-App1 Cert of Good Standing </t>
  </si>
  <si>
    <t>Dated 30 days or less from the Application due date.</t>
  </si>
  <si>
    <t>Co-App1 Tax-Exempt Status</t>
  </si>
  <si>
    <t>Evidence of tax-exempt status from IRS and Franchise Tax Board, if applicable</t>
  </si>
  <si>
    <t>Co-Applicant #2 (if applicable)</t>
  </si>
  <si>
    <t>Co-App2 Cert &amp; Legal</t>
  </si>
  <si>
    <t>Co-App2 Resolution</t>
  </si>
  <si>
    <t>Co-App2 OrgDoc1, OrgDoc2, etc</t>
  </si>
  <si>
    <t>Co-App2 OrgChart</t>
  </si>
  <si>
    <t>Co-App2 Signature Block</t>
  </si>
  <si>
    <t>Co-App2 Payee Data Record</t>
  </si>
  <si>
    <t>Co-App2 TIN Form</t>
  </si>
  <si>
    <t xml:space="preserve">Co-App2 Cert of Good Standing </t>
  </si>
  <si>
    <t>Co-App2 Tax-Exempt Status</t>
  </si>
  <si>
    <t>Evidence of tax-exempt status from IRS and Franchise Tax Board for Non-profit Corp.</t>
  </si>
  <si>
    <t>Development Team Contacts (provide information that is currently available)</t>
  </si>
  <si>
    <t>Property Management Company</t>
  </si>
  <si>
    <t>Legal Name</t>
  </si>
  <si>
    <t>Contact Name</t>
  </si>
  <si>
    <t>Financial Consultant</t>
  </si>
  <si>
    <t>Legal Counsel</t>
  </si>
  <si>
    <t>General Contractor</t>
  </si>
  <si>
    <t>Architect</t>
  </si>
  <si>
    <t xml:space="preserve">Development/Operating Funding Source </t>
  </si>
  <si>
    <t>§201 Eligible Uses</t>
  </si>
  <si>
    <t>Select below the eligible uses you are applying for:</t>
  </si>
  <si>
    <r>
      <rPr>
        <b/>
        <sz val="11"/>
        <rFont val="Arial"/>
        <family val="2"/>
      </rPr>
      <t xml:space="preserve">i. </t>
    </r>
    <r>
      <rPr>
        <sz val="11"/>
        <rFont val="Arial"/>
        <family val="2"/>
      </rPr>
      <t>Acquisition or rehabilitation, or acquisition and rehabilitation, of motels, hotels, hostels, or other sites and assets, including apartments or homes, adult residential facilities, residential care facilities for the elderly, manufactured housing, commercial properties, and other buildings with existing uses that could be converted to permanent or interim housing.</t>
    </r>
  </si>
  <si>
    <t>File Name:</t>
  </si>
  <si>
    <t>Rehab Description</t>
  </si>
  <si>
    <t xml:space="preserve">Narrative description of current condition of structure(s) and overall scope of work. </t>
  </si>
  <si>
    <t>PNA</t>
  </si>
  <si>
    <t>Physical Needs Assessment prepared by a qualified independent third party contractor.</t>
  </si>
  <si>
    <r>
      <rPr>
        <b/>
        <sz val="11"/>
        <rFont val="Arial"/>
        <family val="2"/>
      </rPr>
      <t xml:space="preserve">ii. </t>
    </r>
    <r>
      <rPr>
        <sz val="11"/>
        <rFont val="Arial"/>
        <family val="2"/>
      </rPr>
      <t>Master leasing of properties for non-congregant housing. If Yes, provide a recent market study and/or rent roll, and/or other supporting documentation.</t>
    </r>
  </si>
  <si>
    <t>Market Study</t>
  </si>
  <si>
    <t>Provide a recent market study within the past year which conforms to Tax Credit Allocation Committee (TCAC) guidelines, and/or a rent roll, and/or other supporting documentation per §205 of the NOFA.</t>
  </si>
  <si>
    <r>
      <rPr>
        <b/>
        <sz val="11"/>
        <rFont val="Arial"/>
        <family val="2"/>
      </rPr>
      <t>iii.</t>
    </r>
    <r>
      <rPr>
        <sz val="11"/>
        <rFont val="Arial"/>
        <family val="2"/>
      </rPr>
      <t xml:space="preserve"> Conversion of units from nonresidential to residential.</t>
    </r>
  </si>
  <si>
    <r>
      <rPr>
        <b/>
        <sz val="11"/>
        <rFont val="Arial"/>
        <family val="2"/>
      </rPr>
      <t xml:space="preserve">iv. </t>
    </r>
    <r>
      <rPr>
        <sz val="11"/>
        <rFont val="Arial"/>
        <family val="2"/>
      </rPr>
      <t>New construction of dwelling units.</t>
    </r>
  </si>
  <si>
    <r>
      <rPr>
        <b/>
        <sz val="11"/>
        <rFont val="Arial"/>
        <family val="2"/>
      </rPr>
      <t xml:space="preserve">v. </t>
    </r>
    <r>
      <rPr>
        <sz val="11"/>
        <rFont val="Arial"/>
        <family val="2"/>
      </rPr>
      <t>The purchase of affordability covenants and restrictions for units. If Yes, provide a recent market study and/or rent roll, and/or other supporting documentation.</t>
    </r>
  </si>
  <si>
    <t>Provide a recent market study within the past year which conforms to TCAC guidelines, and/or a rent roll, and/or other supporting documentation per §205 of the NOFA.</t>
  </si>
  <si>
    <r>
      <t xml:space="preserve">vi. </t>
    </r>
    <r>
      <rPr>
        <sz val="11"/>
        <rFont val="Arial"/>
        <family val="2"/>
      </rPr>
      <t>Relocation costs for individuals who are being displaced as a result of your Homekey Project.</t>
    </r>
  </si>
  <si>
    <r>
      <t xml:space="preserve">vii. </t>
    </r>
    <r>
      <rPr>
        <sz val="11"/>
        <rFont val="Arial"/>
        <family val="2"/>
      </rPr>
      <t>Capitalized operating subsidies for units purchased, converted, constructed, or altered with funds provided pursuant to HSC §50675.1.3.</t>
    </r>
  </si>
  <si>
    <t xml:space="preserve">§202 Eligible Projects </t>
  </si>
  <si>
    <t>Select below the eligible project types you are applying for:</t>
  </si>
  <si>
    <r>
      <rPr>
        <b/>
        <sz val="11"/>
        <rFont val="Arial"/>
        <family val="2"/>
      </rPr>
      <t xml:space="preserve">i. </t>
    </r>
    <r>
      <rPr>
        <sz val="11"/>
        <rFont val="Arial"/>
        <family val="2"/>
      </rPr>
      <t xml:space="preserve">Conversion of nonresidential structures to residential dwelling units. </t>
    </r>
  </si>
  <si>
    <r>
      <t xml:space="preserve">ii. </t>
    </r>
    <r>
      <rPr>
        <sz val="11"/>
        <rFont val="Arial"/>
        <family val="2"/>
      </rPr>
      <t xml:space="preserve">Conversion of commercially zoned structures, such as office or retail spaces, to residential dwelling units. </t>
    </r>
  </si>
  <si>
    <r>
      <rPr>
        <b/>
        <sz val="11"/>
        <rFont val="Arial"/>
        <family val="2"/>
      </rPr>
      <t xml:space="preserve">iii. </t>
    </r>
    <r>
      <rPr>
        <sz val="11"/>
        <rFont val="Arial"/>
        <family val="2"/>
      </rPr>
      <t>Adult residential facilities, residential care facilities for the elderly, manufactured housing, and other buildings with existing residential uses.</t>
    </r>
  </si>
  <si>
    <r>
      <rPr>
        <b/>
        <sz val="11"/>
        <rFont val="Arial"/>
        <family val="2"/>
      </rPr>
      <t xml:space="preserve">iv. </t>
    </r>
    <r>
      <rPr>
        <sz val="11"/>
        <rFont val="Arial"/>
        <family val="2"/>
      </rPr>
      <t>Multifamily rental housing projects.</t>
    </r>
  </si>
  <si>
    <r>
      <rPr>
        <b/>
        <sz val="11"/>
        <rFont val="Arial"/>
        <family val="2"/>
      </rPr>
      <t xml:space="preserve">v. </t>
    </r>
    <r>
      <rPr>
        <sz val="11"/>
        <rFont val="Arial"/>
        <family val="2"/>
      </rPr>
      <t>Excess state-owned properties.</t>
    </r>
  </si>
  <si>
    <r>
      <rPr>
        <b/>
        <sz val="11"/>
        <rFont val="Arial"/>
        <family val="2"/>
      </rPr>
      <t xml:space="preserve">vi. </t>
    </r>
    <r>
      <rPr>
        <sz val="11"/>
        <rFont val="Arial"/>
        <family val="2"/>
      </rPr>
      <t>Shared housing or scattered site housing is permitted as long as the resulting housing has common ownership, financing, and property management, and each household signs a lease.</t>
    </r>
  </si>
  <si>
    <r>
      <t xml:space="preserve">vii. </t>
    </r>
    <r>
      <rPr>
        <sz val="11"/>
        <rFont val="Arial"/>
        <family val="2"/>
      </rPr>
      <t>Structure(s) lacking a permanent foundation such as manufactured home, recreational vehicle, and floating home, for temporary use only. HCD encourages Applicants to explore financing alternatives to Homekey for such structures. Must submit with application a detailed explanation of how the use will meet all Homekey requirements, including the requirements for use and affordability restrictions set forth at §208 of the NOFA.</t>
    </r>
    <r>
      <rPr>
        <sz val="11"/>
        <color rgb="FFC00000"/>
        <rFont val="Arial"/>
        <family val="2"/>
      </rPr>
      <t xml:space="preserve"> Applicants seeking HCD’s approval of structures lacking a permanent foundation are encouraged to discuss their options at the required pre-application consultation.</t>
    </r>
  </si>
  <si>
    <t>Non-Perm Structure</t>
  </si>
  <si>
    <t>Detailed narrative of how the use will meet all Homekey Program requirements, including the requirements for use and affordability restrictions set forth at §208 of the NOFA</t>
  </si>
  <si>
    <t>Other eligible project not listed above (describe below)</t>
  </si>
  <si>
    <r>
      <rPr>
        <b/>
        <sz val="11"/>
        <rFont val="Arial"/>
        <family val="2"/>
      </rPr>
      <t>viii.</t>
    </r>
    <r>
      <rPr>
        <sz val="11"/>
        <rFont val="Arial"/>
        <family val="2"/>
      </rPr>
      <t xml:space="preserve"> Applicant acknowledges Homekey Assisted Units previously awarded under the first round of Homekey funding are ineligible for Homekey Round 2 funding.</t>
    </r>
  </si>
  <si>
    <t>Threshold</t>
  </si>
  <si>
    <t>§300 Threshold Requirements</t>
  </si>
  <si>
    <t>To be eligible to receive funding, all projects must meet the following requirements as they relate to the Eligible Applicant and the project types.</t>
  </si>
  <si>
    <r>
      <rPr>
        <b/>
        <sz val="11"/>
        <color theme="1"/>
        <rFont val="Arial"/>
        <family val="2"/>
      </rPr>
      <t xml:space="preserve">i. </t>
    </r>
    <r>
      <rPr>
        <sz val="11"/>
        <color theme="1"/>
        <rFont val="Arial"/>
        <family val="2"/>
      </rPr>
      <t>Applicant acknowledges that applications may be submitted independently by an Eligible Applicant, as defined in §200 and Article VII. Alternatively, each of the foregoing Eligible Applicants may apply jointly with a nonprofit or for-profit corporation as Co-Applicant?</t>
    </r>
  </si>
  <si>
    <r>
      <rPr>
        <b/>
        <sz val="11"/>
        <color theme="1"/>
        <rFont val="Arial"/>
        <family val="2"/>
      </rPr>
      <t>ii.</t>
    </r>
    <r>
      <rPr>
        <sz val="11"/>
        <color theme="1"/>
        <rFont val="Arial"/>
        <family val="2"/>
      </rPr>
      <t xml:space="preserve"> Applicant agrees Project(s) must serve persons qualifying as members of the Target Population per Article VII(xxxi)?</t>
    </r>
  </si>
  <si>
    <r>
      <rPr>
        <b/>
        <sz val="11"/>
        <color theme="1"/>
        <rFont val="Arial"/>
        <family val="2"/>
      </rPr>
      <t>iii.</t>
    </r>
    <r>
      <rPr>
        <sz val="11"/>
        <color theme="1"/>
        <rFont val="Arial"/>
        <family val="2"/>
      </rPr>
      <t xml:space="preserve"> Applicant has completed the 'Supportive Services Plan' worksheet based on the anticipated needs of the Target Population and any proposed sub-populations to be served by the Project?</t>
    </r>
  </si>
  <si>
    <r>
      <rPr>
        <b/>
        <sz val="11"/>
        <color theme="1"/>
        <rFont val="Arial"/>
        <family val="2"/>
      </rPr>
      <t xml:space="preserve">iv. </t>
    </r>
    <r>
      <rPr>
        <sz val="11"/>
        <color theme="1"/>
        <rFont val="Arial"/>
        <family val="2"/>
      </rPr>
      <t>Applicant acknowledges the requirement to submit an overview below of the plan and timeline for any required entitlements, permits, and environmental clearances?</t>
    </r>
    <r>
      <rPr>
        <sz val="11"/>
        <rFont val="Arial"/>
        <family val="2"/>
      </rPr>
      <t xml:space="preserve"> Applicants must also complete the 'Local &amp; Env Verification' worksheet. </t>
    </r>
    <r>
      <rPr>
        <sz val="11"/>
        <color rgb="FFC00000"/>
        <rFont val="Arial"/>
        <family val="2"/>
      </rPr>
      <t>Applicants are encouraged to discuss their land use and environmental clearance plans, and related statutory authorities at the required pre-application consultation.</t>
    </r>
  </si>
  <si>
    <t>Env. Report 1</t>
  </si>
  <si>
    <t>Phase I (prepared or updated no earlier than 12 months prior to the application due date).</t>
  </si>
  <si>
    <t>Env. Report 2</t>
  </si>
  <si>
    <t>If Phase I requires a Phase II study, submit a Phase II (prepared or updated no earlier than 12 months prior to the application due date).</t>
  </si>
  <si>
    <t>CEQA</t>
  </si>
  <si>
    <t>Copy of CEQA Determination Documents</t>
  </si>
  <si>
    <t>NEPA</t>
  </si>
  <si>
    <t>Copy of Authority of Use Grant Funds (NHTF Verification from Responsible Entity)</t>
  </si>
  <si>
    <t>Local Approvals</t>
  </si>
  <si>
    <t>'Local &amp; Env Verification' worksheet(s) completed and signed by local authority or Responsible Entity, if different from jurisdiction.</t>
  </si>
  <si>
    <t>Construction start date</t>
  </si>
  <si>
    <t>Construction completion date</t>
  </si>
  <si>
    <t>Estimated occupancy date</t>
  </si>
  <si>
    <r>
      <rPr>
        <b/>
        <sz val="11"/>
        <color theme="1"/>
        <rFont val="Arial"/>
        <family val="2"/>
      </rPr>
      <t>v.</t>
    </r>
    <r>
      <rPr>
        <sz val="11"/>
        <color theme="1"/>
        <rFont val="Arial"/>
        <family val="2"/>
      </rPr>
      <t xml:space="preserve"> Applicant acknowledges the requirement to submit a Racial Demographic Data Worksheet (reports Continuum of Care (CoC) outcomes by race/ethnicity)?</t>
    </r>
  </si>
  <si>
    <t>Racial Demographics</t>
  </si>
  <si>
    <r>
      <rPr>
        <sz val="11"/>
        <rFont val="Arial"/>
        <family val="2"/>
      </rPr>
      <t xml:space="preserve">Racial Demographic Data Worksheet, which reports CoC outcomes by race and ethnicity. The worksheet on the </t>
    </r>
    <r>
      <rPr>
        <u/>
        <sz val="11"/>
        <color theme="10"/>
        <rFont val="Arial"/>
        <family val="2"/>
      </rPr>
      <t>Homekey webpage</t>
    </r>
  </si>
  <si>
    <r>
      <rPr>
        <b/>
        <sz val="11"/>
        <color theme="1"/>
        <rFont val="Arial"/>
        <family val="2"/>
      </rPr>
      <t>vi.</t>
    </r>
    <r>
      <rPr>
        <sz val="11"/>
        <color theme="1"/>
        <rFont val="Arial"/>
        <family val="2"/>
      </rPr>
      <t xml:space="preserve"> Applicant must have site control of all properties at the time of application, and control must not be contingent on the approval of any other party. Does Applicant have site control? If Yes, enter site control information for each APN and most recent execution date. Describe site control special circumstances below. </t>
    </r>
  </si>
  <si>
    <t>APN</t>
  </si>
  <si>
    <t xml:space="preserve">Type of Site Control </t>
  </si>
  <si>
    <t>Current owner</t>
  </si>
  <si>
    <t>Execution date</t>
  </si>
  <si>
    <t>Expiration date</t>
  </si>
  <si>
    <t>h. Applicant acknowledges that if one or more sites will require a use change for permanent housing, Applicant must submit a commitment and plan to facilitate or expedite those processes, so as to not delay expenditure and occupancy requirements?</t>
  </si>
  <si>
    <t>Use Change</t>
  </si>
  <si>
    <t>Provide a commitment and plan to facilitate or expedite the use change processes</t>
  </si>
  <si>
    <t>Provide details below for unusual site control special circumstances or "Other" types of site control:</t>
  </si>
  <si>
    <t>Site Control1, Site Control2, etc</t>
  </si>
  <si>
    <t>Provide documentation of the type of site control for each site above</t>
  </si>
  <si>
    <t>Prelim1, Prelim2, etc</t>
  </si>
  <si>
    <t>Provide a current preliminary report</t>
  </si>
  <si>
    <t>Provide current preliminary title report for each site above</t>
  </si>
  <si>
    <t>On USB?</t>
  </si>
  <si>
    <t>Liability Insurance</t>
  </si>
  <si>
    <t>Proof of General Liability Insurance that meets the requirements in §800(i)</t>
  </si>
  <si>
    <t>Automobile Insurance</t>
  </si>
  <si>
    <t>Proof of Automobile Liability Insurance that meets the requirements in §800(ii)</t>
  </si>
  <si>
    <t>Property-Hazard Insurance</t>
  </si>
  <si>
    <t>Proof of Property Insurance that meets the requirements in §800(v)</t>
  </si>
  <si>
    <r>
      <rPr>
        <b/>
        <sz val="11"/>
        <color theme="1"/>
        <rFont val="Arial"/>
        <family val="2"/>
      </rPr>
      <t xml:space="preserve">vii. </t>
    </r>
    <r>
      <rPr>
        <sz val="11"/>
        <color theme="1"/>
        <rFont val="Arial"/>
        <family val="2"/>
      </rPr>
      <t>Applicant acknowledges that the Eligible Applicant applying for the Homekey funding is the entity that HCD relies upon for experience and capacity, and will control the project during acquisition, development, and occupancy?</t>
    </r>
  </si>
  <si>
    <t>Indicate which Eligible Applicant HCD can rely on for experience and capacity:</t>
  </si>
  <si>
    <r>
      <rPr>
        <b/>
        <sz val="11"/>
        <color theme="1"/>
        <rFont val="Arial"/>
        <family val="2"/>
      </rPr>
      <t xml:space="preserve">viii. </t>
    </r>
    <r>
      <rPr>
        <sz val="11"/>
        <color theme="1"/>
        <rFont val="Arial"/>
        <family val="2"/>
      </rPr>
      <t>Applicant agrees to provide a development plan that supports acquisition of a site and fund expenditure before all program deadlines and demonstrates evidence of strong organizational and financial capacity to develop the project?</t>
    </r>
  </si>
  <si>
    <t>Development Plan</t>
  </si>
  <si>
    <t>Provide a development plan</t>
  </si>
  <si>
    <r>
      <rPr>
        <b/>
        <sz val="11"/>
        <color theme="1"/>
        <rFont val="Arial"/>
        <family val="2"/>
      </rPr>
      <t>ix.</t>
    </r>
    <r>
      <rPr>
        <sz val="11"/>
        <color theme="1"/>
        <rFont val="Arial"/>
        <family val="2"/>
      </rPr>
      <t xml:space="preserve"> Applicant agrees that Assisted Units and other units of the Project must meet all applicable state and local requirements pertaining to rental housing, manufactured housing, including but not limited to requirements for minimum square footage, and requirements related to maintaining the Project in a safe and sanitary condition?</t>
    </r>
  </si>
  <si>
    <r>
      <rPr>
        <b/>
        <sz val="11"/>
        <color theme="1"/>
        <rFont val="Arial"/>
        <family val="2"/>
      </rPr>
      <t xml:space="preserve">x. </t>
    </r>
    <r>
      <rPr>
        <sz val="11"/>
        <color theme="1"/>
        <rFont val="Arial"/>
        <family val="2"/>
      </rPr>
      <t>Applicant acknowledges all Applicants must be in good standing with the State of California and all agencies and departments thereof? By way of example and not limitation, all Applicants must be qualified to do business in the State of California and must be in good standing with the California Secretary of State and the California Franchise Tax Board. Applicants that are delinquent in meeting material requirements of previous HCD awards may fail threshold review.</t>
    </r>
  </si>
  <si>
    <r>
      <t xml:space="preserve">xi. </t>
    </r>
    <r>
      <rPr>
        <sz val="11"/>
        <color theme="1"/>
        <rFont val="Arial"/>
        <family val="2"/>
      </rPr>
      <t>Applicant acknowledges that HCD will require Eligible Applicants to submit a complete application with all required documents? HCD reserves the right to request clarification of unclear or ambiguous statements made in an application and other supporting documents.</t>
    </r>
  </si>
  <si>
    <r>
      <rPr>
        <b/>
        <sz val="11"/>
        <color theme="1"/>
        <rFont val="Arial"/>
        <family val="2"/>
      </rPr>
      <t>xii.</t>
    </r>
    <r>
      <rPr>
        <sz val="11"/>
        <color theme="1"/>
        <rFont val="Arial"/>
        <family val="2"/>
      </rPr>
      <t xml:space="preserve"> Applicant acknowledges the requirement to submit a concise, sufficiently detailed Relocation Assistance Narrative? The Narrative must show the Applicant’s consideration of (I) applicable relocation assistance laws and requirements; and (II) all persons, businesses, or farm operations that may or will be displaced as a result of the Applicant’s Homekey-funded activities. </t>
    </r>
    <r>
      <rPr>
        <sz val="11"/>
        <color rgb="FFC00000"/>
        <rFont val="Arial"/>
        <family val="2"/>
      </rPr>
      <t>This Relocation Assistance Narrative does not take the place of the relocation plan, or the Certification Regarding Non-Application of Relocation Benefits and Indemnification Agreement, that the Grantee shall submit as a condition of funding.</t>
    </r>
  </si>
  <si>
    <t>Relocation Narrative</t>
  </si>
  <si>
    <t>Relocation Assistance Narrative for relocation or no relocation</t>
  </si>
  <si>
    <r>
      <rPr>
        <b/>
        <sz val="11"/>
        <color theme="1"/>
        <rFont val="Arial"/>
        <family val="2"/>
      </rPr>
      <t>i.</t>
    </r>
    <r>
      <rPr>
        <sz val="11"/>
        <color theme="1"/>
        <rFont val="Arial"/>
        <family val="2"/>
      </rPr>
      <t xml:space="preserve"> Applicant has funding commitments or other reasonable assurance to cover operations and service costs with specific funding sources (government/philanthropic/private) for the proposed Project for 5 years and a budget which covers operations and services costs through year 15 from the recordation of the use restriction?</t>
    </r>
  </si>
  <si>
    <r>
      <rPr>
        <b/>
        <sz val="11"/>
        <color theme="1"/>
        <rFont val="Arial"/>
        <family val="2"/>
      </rPr>
      <t>ii.</t>
    </r>
    <r>
      <rPr>
        <sz val="11"/>
        <color theme="1"/>
        <rFont val="Arial"/>
        <family val="2"/>
      </rPr>
      <t xml:space="preserve"> Is the Applicant acquiring, rehabilitating, and operating a Permanent Housing project? If Yes, the Applicant or Co-Applicant must demonstrate the following minimum experience requirements below:</t>
    </r>
  </si>
  <si>
    <r>
      <t>a. Development, ownership, or operation experience</t>
    </r>
    <r>
      <rPr>
        <sz val="11"/>
        <color rgb="FF0000FF"/>
        <rFont val="Arial"/>
        <family val="2"/>
      </rPr>
      <t xml:space="preserve"> </t>
    </r>
    <r>
      <rPr>
        <b/>
        <sz val="11"/>
        <color rgb="FF0000FF"/>
        <rFont val="Arial"/>
        <family val="2"/>
      </rPr>
      <t>(a1. or a2. must be Yes to pass Threshold)</t>
    </r>
  </si>
  <si>
    <t>Passes threshold?</t>
  </si>
  <si>
    <r>
      <rPr>
        <b/>
        <sz val="11"/>
        <color rgb="FF0000FF"/>
        <rFont val="Arial"/>
        <family val="2"/>
      </rPr>
      <t>a1.</t>
    </r>
    <r>
      <rPr>
        <sz val="11"/>
        <color theme="1"/>
        <rFont val="Arial"/>
        <family val="2"/>
      </rPr>
      <t xml:space="preserve"> Has Applicant developed, owned, or operated a project similar in scope and size to the Project? If Yes, provide details below:</t>
    </r>
  </si>
  <si>
    <t>Project name and address</t>
  </si>
  <si>
    <t>Who provides the experience</t>
  </si>
  <si>
    <t>Experience type</t>
  </si>
  <si>
    <t>Housing type</t>
  </si>
  <si>
    <t>Population served</t>
  </si>
  <si>
    <t>Latest date developed, owned, or operated</t>
  </si>
  <si>
    <t>a</t>
  </si>
  <si>
    <t>Affordable Rental</t>
  </si>
  <si>
    <r>
      <rPr>
        <b/>
        <sz val="11"/>
        <color rgb="FF0000FF"/>
        <rFont val="Arial"/>
        <family val="2"/>
      </rPr>
      <t xml:space="preserve">a2. </t>
    </r>
    <r>
      <rPr>
        <sz val="11"/>
        <rFont val="Arial"/>
        <family val="2"/>
      </rPr>
      <t>If a1 above is Yes, skip. Applicant has operated at least two affordable rental housing projects in the last ten years, with at least one of those projects containing at least one unit housing a tenant who qualifies as a member of the Target Population (enter Project information below)?</t>
    </r>
  </si>
  <si>
    <t>Qualifying unit population served</t>
  </si>
  <si>
    <t>b. Experience helping persons address barriers to housing stability &amp; providing support services</t>
  </si>
  <si>
    <t>Property manager service years</t>
  </si>
  <si>
    <t>Supportive Service Provider service years</t>
  </si>
  <si>
    <t>Pass threshold (three or more years of experience)?</t>
  </si>
  <si>
    <t>Has a property manager been selected?</t>
  </si>
  <si>
    <t>If Yes, enter property manager name and complete experience chart below:</t>
  </si>
  <si>
    <t>If No, Applicant certifies that this requirement will be reflected in future solicitation or memorandum of understanding?</t>
  </si>
  <si>
    <t>Experience provider</t>
  </si>
  <si>
    <t>Population Served</t>
  </si>
  <si>
    <t># of months serving</t>
  </si>
  <si>
    <t>Property Manager</t>
  </si>
  <si>
    <t>Enter Supportive Service Provider name and complete experience chart below:</t>
  </si>
  <si>
    <t>Supportive Service Provider</t>
  </si>
  <si>
    <t xml:space="preserve">c. Experience administering a Housing First program that includes principles of harm reduction and low barriers to entry. </t>
  </si>
  <si>
    <t>Housing First Perm</t>
  </si>
  <si>
    <t>Provide experience administering a Housing First program of harm reduction and low barriers to entry</t>
  </si>
  <si>
    <r>
      <rPr>
        <b/>
        <sz val="11"/>
        <rFont val="Arial"/>
        <family val="2"/>
      </rPr>
      <t xml:space="preserve">iii. </t>
    </r>
    <r>
      <rPr>
        <sz val="11"/>
        <rFont val="Arial"/>
        <family val="2"/>
      </rPr>
      <t>One-for-one replacement of assisted housing</t>
    </r>
  </si>
  <si>
    <t>a. Will the acquired housing or site be redeveloped/repositioned as part of the locality's overall goal to address the needs of Target Population and community?</t>
  </si>
  <si>
    <t>b. If Yes to iii a. above, will the target site be demolished before any occupancy by the Target Population?</t>
  </si>
  <si>
    <t>One-for-one Replacement</t>
  </si>
  <si>
    <t>iii(a) and (b): If the acquired housing or site will be redeveloped/repositioned per the locality's overall goal to address the needs of the Target Population and the community (unless the target site is going to be demolished before any occupancy by the Target Population), provide a letter of commitment to ensure one-for-one replacement of units.</t>
  </si>
  <si>
    <t>c. Will all of the proposed housing be located within the original target housing location neighborhood?</t>
  </si>
  <si>
    <t>Housing Site Map</t>
  </si>
  <si>
    <t>Map indicating the original target housing location and all proposed housing location(s).</t>
  </si>
  <si>
    <t>Outside Neighborhood</t>
  </si>
  <si>
    <t>If replacement housing is proposed outside the target neighborhood, include a justification explaining why it is necessary to locate this replacement housing outside the target neighborhood (i.e., offsite) and how doing so supports and enables the Target Population to maintain housing.</t>
  </si>
  <si>
    <r>
      <rPr>
        <b/>
        <sz val="11"/>
        <color theme="1"/>
        <rFont val="Arial"/>
        <family val="2"/>
      </rPr>
      <t>i.</t>
    </r>
    <r>
      <rPr>
        <sz val="11"/>
        <color theme="1"/>
        <rFont val="Arial"/>
        <family val="2"/>
      </rPr>
      <t xml:space="preserve"> Applicant acknowledges the Interim Housing Project will be evaluated on Funding commitments or other reasonable assurance to cover operations and service costs with specific funding sources (government/philanthropic/private) for the Project for five years and submit a budget to cover operations and services costs through year 15 from the recordation of the use restriction.</t>
    </r>
  </si>
  <si>
    <r>
      <rPr>
        <b/>
        <sz val="11"/>
        <color theme="1"/>
        <rFont val="Arial"/>
        <family val="2"/>
      </rPr>
      <t>ii.</t>
    </r>
    <r>
      <rPr>
        <sz val="11"/>
        <color theme="1"/>
        <rFont val="Arial"/>
        <family val="2"/>
      </rPr>
      <t xml:space="preserve"> Is the Applicant acquiring, rehabilitating, and/or operating an Interim Housing project? If Yes, the Applicant must meet the following experience below:</t>
    </r>
  </si>
  <si>
    <t>a. Successful development, ownership, or operation of an Interim Housing project, such as an emergency shelter or Transitional Housing for at least three of the last ten years for individuals who qualify as members of the Target Population.</t>
  </si>
  <si>
    <t>Years</t>
  </si>
  <si>
    <t>Pass Threshold</t>
  </si>
  <si>
    <t>Project Name and Address</t>
  </si>
  <si>
    <t>Who provided experience</t>
  </si>
  <si>
    <t>Interim Housing project type</t>
  </si>
  <si>
    <t># of months serving in the last ten years</t>
  </si>
  <si>
    <t>Explanations:</t>
  </si>
  <si>
    <t>b. Does Applicant have experience linking Interim Housing program participants to Permanent Housing to ensure long-term housing stability?</t>
  </si>
  <si>
    <t>Interim Hsg Exp</t>
  </si>
  <si>
    <t>Provide experience in linking Interim Housing program participants to Permanent Housing to ensure long-term housing stability</t>
  </si>
  <si>
    <t>c. Does Applicant have experience administering a Housing First program that includes principles of harm reduction and low barriers to entry?</t>
  </si>
  <si>
    <t>Housing First Interim</t>
  </si>
  <si>
    <t>Provide experience administering a Housing First program that includes principles of harm reduction and low barriers to entry</t>
  </si>
  <si>
    <t>§500 Article XXXIV</t>
  </si>
  <si>
    <t>Applicant acknowledges per HSC §37001, subdivision (h)(2), article XXXIV, §1 of the California Constitution is not applicable to a development that consists of the acquisition, rehabilitation, reconstruction, alterations work, new construction, or any combination thereof, of lodging facilities or dwelling units using moneys received from the CSFRF established by the federal American Rescue Plan Act of 2021 (ARPA) (Public Law 117-2)? As such, Article XXXIV is not applicable to Homekey funded development.</t>
  </si>
  <si>
    <t>§501 Housing First</t>
  </si>
  <si>
    <t>Applicant acknowledges that the Eligible Applicant shall certify to employ the core components of Housing First, as set forth at Welfare and Institutions Code §8255, in its property management and tenant selection practices? Projects shall accept tenants regardless of sobriety, participation in services or treatment, history of incarceration, credit history, or history of eviction in accordance with practices permitted pursuant to Housing First practices, including local Coordinated Entry System prioritization protocols, or other federal or state Project funding sources..</t>
  </si>
  <si>
    <t>§502 Tenant Selection</t>
  </si>
  <si>
    <t xml:space="preserve">Applicant acknowledges that referrals to Homekey Assisted Units shall be made through the local Coordinated Entry System (CES) for persons who are experiencing Homelessness? For persons At Risk of Homelessness, CES or another comparable prioritization system based on greatest need shall be used. All referral protocols for Homekey Assisted Units must be developed in collaboration with the local CoC and implemented consistent with the requirements set forth in the NOFA. CoC collaboration in Project and supportive service design is also strongly encouraged to help target and serve greatest need populations. </t>
  </si>
  <si>
    <t>§503 Participation in Statewide HDIS/HMIS</t>
  </si>
  <si>
    <t>Applicant acknowledges Homekey Grantees must support CoC participation in the statewide Homeless Data Integration System (HDIS), and, in accordance with state and federal law (including all applicable privacy law), disclose relevant data to the local Homeless Management Information System (HMIS)?</t>
  </si>
  <si>
    <t>§504 Relocation</t>
  </si>
  <si>
    <t>Applicant acknowledges Homekey Grantees must comply with all applicable federal, state, and local relocation law. Grantees must have a relocation plan prior to proceeding with any phase of a project or other activity that will result in the displacement of persons, businesses, or farm operations?</t>
  </si>
  <si>
    <t>Relocation Plan</t>
  </si>
  <si>
    <t>§505 Accessibility and Non-Discrimination</t>
  </si>
  <si>
    <t>Applicants acknowledges all developments shall adhere to the accessibility requirements set forth in California Building Code Chapter 11A and 11B and the Americans with Disabilities Act, Title II?</t>
  </si>
  <si>
    <t>Access &amp; Non-Discrimination</t>
  </si>
  <si>
    <t>Provide a non-discrimination policy</t>
  </si>
  <si>
    <t>§506 Prevailing Wage</t>
  </si>
  <si>
    <t>Applicant acknowledges use of Homekey funds is subject to California's prevailing wage law (Lab. Code, § 1720 et seq.). Applicant is urged to seek professional legal advice about the law's requirements. Prior to disbursing the Homekey funds, HCD will require a certification of compliance with California's prevailing wage law, as well as all applicable federal prevailing wage law. The certification must verify that prevailing wages have been or will be paid, and that labor records will be maintained and made available to any enforcement agency upon request. The certification must be signed by the general contractor(s) and the Grantee.</t>
  </si>
  <si>
    <t>Prevailing Wage</t>
  </si>
  <si>
    <t>Provide a prevailing wage certification</t>
  </si>
  <si>
    <t>§507 Environmental Clearances</t>
  </si>
  <si>
    <r>
      <t xml:space="preserve">Applicant acknowledges HCD encourages Eligible Applicants to </t>
    </r>
    <r>
      <rPr>
        <sz val="11"/>
        <color rgb="FFC00000"/>
        <rFont val="Arial"/>
        <family val="2"/>
      </rPr>
      <t>fully engage with HCD’s technical assistance and to consider the CEQA exemption set forth at HSC §50675.1.4</t>
    </r>
    <r>
      <rPr>
        <sz val="11"/>
        <color theme="1"/>
        <rFont val="Arial"/>
        <family val="2"/>
      </rPr>
      <t xml:space="preserve"> and the provision for land use consistency and conformity set forth at HSC §50675.1.3, subdivision (i)? Applicants should consult with their counsel for legal advice in construing application of the foregoing exemptions to their Project. It is entirely within an Applicant’s discretion to determine whether to use the statutory CEQA exemption, whether the exemption applies to the Applicant’s proposed activity, or whether some other mechanism applies and could be used to satisfy obligations under CEQA.</t>
    </r>
  </si>
  <si>
    <t>Certification &amp; Legal Disclosure</t>
  </si>
  <si>
    <t>On behalf of the entity identified in the signature block below, I certify that:</t>
  </si>
  <si>
    <t>1. The information, statements and attachments included in this application are, to the best of my knowledge and belief, true and correct.</t>
  </si>
  <si>
    <t>2. I possess the legal authority to submit this application on behalf of the entity identified in the signature block.</t>
  </si>
  <si>
    <t xml:space="preserve">3. The following is a complete disclosure of all identities of interest - of all persons or entities, including affiliates, that will provide goods or services to the Project either (a) in one or more capacity or (b) that qualify as a "Related Party" to any person or entity that will provide goods or services to the Project. "Related Party" is defined in Section 10302 of the California Code of Regulations (CTCAC Regulations): </t>
  </si>
  <si>
    <t>4. As of the date of application, the Project, or the real property on which the Project is proposed (Property) is not party to or the subject of any claim or action at the State or Federal appellate level.</t>
  </si>
  <si>
    <t>5. I have disclosed and described below any claim or action undertaken which affects or potentially affects the feasibility of the Project.</t>
  </si>
  <si>
    <t>In addition, I acknowledge that all information in this application and attachments is public, and may be disclosed by the State.</t>
  </si>
  <si>
    <t>     </t>
  </si>
  <si>
    <t>Printed Name</t>
  </si>
  <si>
    <t>Title of Signatory</t>
  </si>
  <si>
    <t>Signature</t>
  </si>
  <si>
    <t>Date</t>
  </si>
  <si>
    <t>Legal Disclosure</t>
  </si>
  <si>
    <t xml:space="preserve">For purposes of the following questions, and with the exceptions noted below, the term “applicant” shall include the applicant and joint applicant, and any subsidiary of the applicant or joint applicant if the subsidiary is involved in (for example, as a guarantor) or will be benefited by the application or the project. </t>
  </si>
  <si>
    <t>In addition to each of these entities themselves, the term “applicant” shall also include the direct and indirect holders of more than ten percent (10%) of the ownership interests in the entity, as well as the officers, directors, principals and senior executives of the entity if the entity is a corporation, the general and limited partners of the entity if the entity is a partnership, and the members or managers of the entity if the entity is a limited liability company. For projects using tax-exempt bonds, it shall also include the individual who will be executing the bond purchase agreement.</t>
  </si>
  <si>
    <t xml:space="preserve">The following questions must be responded to for each entity and person qualifying as an "applicant," or "joint applicant" as defined above.  </t>
  </si>
  <si>
    <t>Explain all positive responses on a separate sheet and include with this questionnaire in the application.</t>
  </si>
  <si>
    <t>Exceptions:</t>
  </si>
  <si>
    <t xml:space="preserve">Public entity applicants without an ownership interest in the proposed project, including but not limited to cities, counties, and joint powers authorities with 100 or more members, are not required to respond to this questionnaire. </t>
  </si>
  <si>
    <t>Members of the boards of directors of non-profit corporations, including officers of the boards, are also not required to respond. However, chief executive officers (Executive Directors, Chief Executive Officers, Presidents or their equivalent) must respond, as must chief financial officers (Treasurers, Chief Financial Officers, or their equivalent).</t>
  </si>
  <si>
    <t>Civil Matters</t>
  </si>
  <si>
    <r>
      <t xml:space="preserve">1. Has the applicant filed a bankruptcy or receivership case or had a bankruptcy or receivership action commenced against it, defaulted on a loan or been foreclosed against in </t>
    </r>
    <r>
      <rPr>
        <i/>
        <sz val="11"/>
        <rFont val="Arial"/>
        <family val="2"/>
      </rPr>
      <t>past ten years</t>
    </r>
    <r>
      <rPr>
        <sz val="11"/>
        <rFont val="Arial"/>
        <family val="2"/>
      </rPr>
      <t xml:space="preserve">? </t>
    </r>
  </si>
  <si>
    <t>2. Is the applicant currently a party to, or been notified that it may become a party to, any civil litigation that may materially and adversely affect (a) the financial condition of the applicant’s business, or (b) the project that is the subject of the application?</t>
  </si>
  <si>
    <t>3. Have there been any administrative or civil settlements, decisions, or judgments against the applicant within the past ten years that materially and adversely affected (a) the financial condition of the applicant’s business, or (b) the project that is the subject of the application?</t>
  </si>
  <si>
    <t xml:space="preserve">4. Is the applicant currently subject to, or been notified that it may become subject to, any civil or administrative proceeding, examination, or investigation by a local, state or federal licensing or accreditation agency, a local, state or federal taxing authority, or a local, state or federal regulatory or enforcement agency? </t>
  </si>
  <si>
    <t xml:space="preserve">5. In the past ten years, has the applicant been subject to any civil or administrative proceeding, examination, or investigation by a local, state or federal licensing or accreditation agency, a local, state or federal taxing authority, or a local, state or federal regulatory or enforcement agency that resulted in a settlement, decision, or judgment? </t>
  </si>
  <si>
    <t>Criminal Matters</t>
  </si>
  <si>
    <t xml:space="preserve">6. Is the applicant currently a party to, or the subject of, or been notified that it may become a party to or the subject of, any criminal litigation, proceeding, charge, complaint, examination or investigation, of any kind, involving, or that could result in, felony charges against the applicant? </t>
  </si>
  <si>
    <t xml:space="preserve">7. Is the applicant currently a party to, or the subject of, or been notified that it may become a party to or the subject of, any criminal litigation, proceeding, charge, complaint, examination or investigation, of any kind, involving, or that could result in, misdemeanor charges against the applicant for matters relating to the conduct of the applicant’s business? </t>
  </si>
  <si>
    <t xml:space="preserve">8. Is the applicant currently a party to, or the subject of, or been notified that it may become a party to or the subject of, any criminal litigation, proceeding, charge, complaint, examination or investigation, of any kind, involving, or that could result in, criminal charges (whether felony or misdemeanor) against the applicant for any financial or fraud related crime? </t>
  </si>
  <si>
    <t>9. Is the applicant currently a party to, or the subject of, or been notified that it may become a party to or the subject of, any criminal litigation, proceeding, charge, complaint, examination or investigation, of any kind, that could materially affect the financial condition of the applicant’s business?</t>
  </si>
  <si>
    <t xml:space="preserve">10. Within the past ten years, has the applicant been convicted of any felony? </t>
  </si>
  <si>
    <t xml:space="preserve">11. Within the past ten years, has the applicant been convicted of any misdemeanor related to the conduct of the applicant’s business?  </t>
  </si>
  <si>
    <t xml:space="preserve">12. Within the past ten years, has the applicant been convicted of any misdemeanor for any financial or fraud related crime? </t>
  </si>
  <si>
    <t>Provide a letter of explanation if you responded "Yes" to any of the questions above.</t>
  </si>
  <si>
    <t>Cert &amp; Legal Explanation</t>
  </si>
  <si>
    <t xml:space="preserve">Letter of explanation for any "Yes" answers or red shaded items above. </t>
  </si>
  <si>
    <t>Applicant Documents</t>
  </si>
  <si>
    <t>Certifications &amp; Legal Disclosure</t>
  </si>
  <si>
    <t>A completed and signed Certification is required for each Joint Applicant. Each Joint Applicant must sign an individual Certification form. A completed and signed Legal Disclosure is also required for each Joint Applicant. The hard copy Certifications &amp; Legal Disclosure should be submitted with the application as detailed in the NOFA.</t>
  </si>
  <si>
    <t>Resolutions</t>
  </si>
  <si>
    <t>Applicant may use their own Resolution format as long as it contains ALL of the authorizations as in the sample.
The person attesting to the resolution signing cannot be the same person authorized to execute the documents in the name of the applicant.
If more than one authorized signatory is identified, state whether both signatories are required or only one signatory is required to submit and execute Program docs.
If the application is being signed by a designee of the authorized signatory, the applicant must also submit a designee letter or other proof of signing authority.</t>
  </si>
  <si>
    <t xml:space="preserve">A resolution is required of each Joint Applicant - both private and public entities.  A sample resolution template is available on the Homekey website. </t>
  </si>
  <si>
    <t>Organizational Documents</t>
  </si>
  <si>
    <t xml:space="preserve">Organizational documents are required for all Applicants except Governmental entities are not required.   </t>
  </si>
  <si>
    <t>Submit organizational documents supporting the Resolution submitted with the application.</t>
  </si>
  <si>
    <t>Corporation organizational documents</t>
  </si>
  <si>
    <t>Articles of Incorporation (Corp. Code §154, 200 and 202) as certified by the CA Secretary of State.
Bylaws and any amendments thereto (Corp. Code §207(b), 211 and 212)
Certificate of Amendment of Articles of Incorporation (Corp. Code §900-910 (general stock), §5810-5820 (public benefit and religious corporations), §7810-7820 (mutual benefit corporations), or §12500-12510 (general cooperative corporations)) as applicable.
Restated Articles of Incorporation (Corp. Code §901, 906, 910 (general stock), §5811, 5815, 5819 (public benefit and religious corporations), §7811, 7815 and 7819 (mutual benefit corporations) and §12501, 12506 and 12510 (general cooperative corporations)) as applicable.
Statement of Information (CA Secretary of State form SI-100 or SI-200)
Shareholder Agreements (Corp. Code §186) if applicable.
Certificate of Good Standing certified by Secretary of State.</t>
  </si>
  <si>
    <t>Any other CA Secretary of State filings applicable to revivals, conversions or mergers.</t>
  </si>
  <si>
    <t>Organizational Chart</t>
  </si>
  <si>
    <t>The Organizational chart must depict the organizational structure of the entities in relation to the applicant.</t>
  </si>
  <si>
    <t>Signature Block</t>
  </si>
  <si>
    <t>All Applicants must submit a Signature Block in a Microsoft Word Document that will be used in the HCD legal documents such as the Standard Agreement.</t>
  </si>
  <si>
    <t>Payee Data Record STD-204 or Taxpayer Identification Number (TIN)</t>
  </si>
  <si>
    <t>The TIN must be submitted by all governmental entity Applicants. All other Applicants must submit the STD-204 Payee Data Record. Available on the Homekey website.</t>
  </si>
  <si>
    <t>§300(iii) Supportive Services Plan (SSP)</t>
  </si>
  <si>
    <t xml:space="preserve">Homekey applications must include an initial plan for providing supportive services based on the anticipated needs of the Target Population and any proposed sub-populations to be served by the Project. The checklist below shall serve as a guide to ensure your SSP is complete. </t>
  </si>
  <si>
    <t>Attendant care</t>
  </si>
  <si>
    <t>Part I.</t>
  </si>
  <si>
    <t xml:space="preserve">Tenant Selection </t>
  </si>
  <si>
    <t>Educational services</t>
  </si>
  <si>
    <t>Section 1: Tenant Selection Criteria</t>
  </si>
  <si>
    <t>Legal assistance</t>
    <phoneticPr fontId="0" type="noConversion"/>
  </si>
  <si>
    <t>Section 2: Referrals</t>
  </si>
  <si>
    <t>Section 3: Housing First Certification §501</t>
  </si>
  <si>
    <t>Part II.</t>
  </si>
  <si>
    <t xml:space="preserve">Supportive Services Detail </t>
  </si>
  <si>
    <t>Life skills training</t>
  </si>
  <si>
    <t>Section 1: Supportive Services Provider Information</t>
  </si>
  <si>
    <t>Linkage to out-placements</t>
  </si>
  <si>
    <t>Section 2: Supportive Services Chart</t>
  </si>
  <si>
    <t>Medication management</t>
  </si>
  <si>
    <t xml:space="preserve">Section 3: Supportive Services Coordination </t>
  </si>
  <si>
    <t xml:space="preserve">Part III. </t>
  </si>
  <si>
    <t>Staffing</t>
  </si>
  <si>
    <t>Peer support &amp; advocacy</t>
  </si>
  <si>
    <t xml:space="preserve">Section 1a: Staffing Description </t>
  </si>
  <si>
    <t>Representative payee</t>
  </si>
  <si>
    <t>Section 1b: Staffing Chart</t>
  </si>
  <si>
    <t>Social &amp; rec activities</t>
  </si>
  <si>
    <t>Section 2: Staffing Ratios</t>
  </si>
  <si>
    <t xml:space="preserve">Part IV. </t>
  </si>
  <si>
    <t xml:space="preserve">Supportive Services Budget </t>
  </si>
  <si>
    <t>Part V.</t>
  </si>
  <si>
    <t>Property Management Plans and Tenant Selection</t>
  </si>
  <si>
    <t>Section 1: Property Management Plans and Tenant Selection</t>
  </si>
  <si>
    <t xml:space="preserve">Part VI. </t>
  </si>
  <si>
    <t>Measurable Outcomes and Plan for Evaluation</t>
  </si>
  <si>
    <t>Section 1: Measurable Outcomes</t>
  </si>
  <si>
    <t>Section 2: Plan for Evaluation</t>
  </si>
  <si>
    <t xml:space="preserve">Part I. Tenant Selection </t>
  </si>
  <si>
    <r>
      <rPr>
        <b/>
        <sz val="11"/>
        <rFont val="Arial"/>
        <family val="2"/>
      </rPr>
      <t>§502</t>
    </r>
    <r>
      <rPr>
        <sz val="11"/>
        <rFont val="Arial"/>
        <family val="2"/>
      </rPr>
      <t xml:space="preserve"> asks for a detailed description of the Tenant Selection process. Using the titled sections below, the narrative should be as specific as possible, delineating the roles of property management and the support service provider and how these functions will be coordinated. Your description should clearly and conclusively document processes to ensure compliance with the Homekey Round 2 NOFA for Tenant Selection and Housing First Practices. </t>
    </r>
  </si>
  <si>
    <t>Target Population and Eligibility Criteria</t>
  </si>
  <si>
    <t xml:space="preserve">a. Do you use Housing First Practices? </t>
  </si>
  <si>
    <t xml:space="preserve">b. Describe the criteria that will be used to ensure that tenants are eligible to occupy the Homekey Assisted Units. </t>
  </si>
  <si>
    <t>c. Description of the Target Population to be served, and identification of any additional subpopulation target or occupancy preference for the Project. (all sub-population targeting must be approved by HCD prior to standard agreement issuance and must be consistent with federal and state fair housing requirements).</t>
  </si>
  <si>
    <r>
      <rPr>
        <sz val="11"/>
        <rFont val="Arial"/>
        <family val="2"/>
      </rPr>
      <t xml:space="preserve">e. Describe any additional eligibility criteria other than those indicated above, i.e., information needed to determine if the tenant can comply with lease terms. </t>
    </r>
    <r>
      <rPr>
        <b/>
        <sz val="11"/>
        <rFont val="Arial"/>
        <family val="2"/>
      </rPr>
      <t xml:space="preserve">NOTE: </t>
    </r>
    <r>
      <rPr>
        <sz val="11"/>
        <rFont val="Arial"/>
        <family val="2"/>
      </rPr>
      <t xml:space="preserve">Selection criteria designed to assess anything other than the ability to comply with lease terms generally run afoul of fair housing laws designed to protect equal access to housing for people with disabilities. </t>
    </r>
    <r>
      <rPr>
        <u/>
        <sz val="11"/>
        <color theme="10"/>
        <rFont val="Arial"/>
        <family val="2"/>
      </rPr>
      <t>See Between the Lines, A Question and Answer Guide on Legal Issues in Supportive Housing Chapter 4.</t>
    </r>
  </si>
  <si>
    <t xml:space="preserve">f. Identify all disclosures that will be provided to applicants/tenants. Example: Megan's Law disclosures. </t>
  </si>
  <si>
    <t>The following addresses the required use of the Coordinated Entry System (CES) for all referrals into Homekey Assisted Units or an alternate comparable prioritization system for those At Risk of Homelessness based on greatest need. Note that use of standard waiting lists is prohibited, in that both of these systems must prioritize referrals based on highest acuity needs, rather than first-come first served.</t>
  </si>
  <si>
    <t>a. Describe how the local CES will be used to fill Homekey Assisted Units based on the use of a standardized assessment tool which prioritizes those with the highest need and the most barriers to housing retention. Include the CES agency’s name, primary staff person’s name, and contact information. If the local CES is not yet operational, describe when it'll be established and the plan to use it.</t>
  </si>
  <si>
    <t xml:space="preserve">b. If using a separate comparable prioritization system than CES to refer persons At Risk of Homelessness describe that system. All referral protocols for Homekey Assisted Units must be developed in collaboration with the local CoC and implemented consistent with the requirements set forth in the Homekey NOFA. </t>
  </si>
  <si>
    <t xml:space="preserve">The Eligible Applicant shall certify to employ the core components of Housing First, as set forth at Welfare and Institutions Code §8255, in its property management and tenant selection practices. Complete the checklist below to certify compliance with Housing First. </t>
  </si>
  <si>
    <t>Tenant Screening</t>
  </si>
  <si>
    <t>1. If the project cannot serve someone, it works through the coordinated entry process to ensure that those individuals or families have access to housing and services elsewhere.</t>
  </si>
  <si>
    <t>2. The project does everything possible not to reject an individual or family based on poor credit or financial history, poor or lack of rental history, minor criminal convictions, or behaviors that are interpreted as indicating a lack of “housing readiness.”</t>
  </si>
  <si>
    <t>3. Access to the project is not contingent on sobriety, minimum income requirements, lack of a criminal record, completion of treatment, participation in services, or any other unnecessary condition not imposed by the terms of the funding itself.</t>
  </si>
  <si>
    <t>4. People with disabilities are offered clear opportunities to request reasonable accommodations within applications and screening processes and during tenancy. Building and units include physical features that accommodate disabilities.</t>
  </si>
  <si>
    <t>Housing-Based Voluntary Services</t>
  </si>
  <si>
    <t>1. If serving youth experiencing homelessness, services use a positive youth development model and culturally competent services to engage with tenants.</t>
  </si>
  <si>
    <t>2. Services are informed by a harm-reduction philosophy that recognizes that substance use/ addiction are a part of some tenants’ lives. Tenants are engaged in non-judgmental communication regarding substance use and are offered education regarding safer practices and how to avoid risky behaviors.</t>
  </si>
  <si>
    <t>3. Case managers and service coordinators who are trained in and actively employ evidence-based practices for client engagement, including, but not limited to, motivational interviewing and client-centered counseling.</t>
  </si>
  <si>
    <t>4. Participation in services or compliance with service plans are not conditions of tenancy but are reviewed with tenants and regularly offered as a resource to tenants. Housing and service goals and plans are highly tenant driven.</t>
  </si>
  <si>
    <t>5. Supportive services emphasize engagement and problem-solving over therapeutic goals.</t>
  </si>
  <si>
    <t>Housing Permanency</t>
  </si>
  <si>
    <t>1. Substance use in and of itself, without other lease violations, is not considered a reason for eviction.</t>
  </si>
  <si>
    <t>2. Tenants in supportive housing are given reasonable flexibility in paying their share of rent on time and offered special payment arrangements for rent arrears and/or assistance with financial management, including representative payee arrangements.</t>
  </si>
  <si>
    <t>3. Every effort is made to provide a tenant the opportunity to transfer from one housing situation, program, or project to another if tenancy is in jeopardy. Whenever possible, eviction back into homelessness is avoided.</t>
  </si>
  <si>
    <t>4. Program Requires Housing Providers to Provide Tenants with Leases and Reflects Tenants’ Rights &amp; Responsibilities Of Tenancy Under CA Law (including eviction protections).</t>
  </si>
  <si>
    <t>Part II. Supportive Services Detail</t>
  </si>
  <si>
    <t xml:space="preserve">If already identified, list the supportive service provider (s) for the Target Population and any proposed sub-populations to be served by the Project. If more than one Provider will be offering services, describe how services will be coordinated. </t>
  </si>
  <si>
    <t>Provider Name</t>
  </si>
  <si>
    <t>Populations the Provider will serve</t>
  </si>
  <si>
    <t>Services Provider will offer</t>
  </si>
  <si>
    <t>Describe any known conflicts and/or the mitigation strategy for when Homekey funding or other program requirements conflict with Housing First practices, as applicable.</t>
  </si>
  <si>
    <t xml:space="preserve">If your tenants include minor children and/or adult dependents of Homekey Tenants, describe any additional criteria that will be used to ensure applicants are eligible to occupy the Homekey Assisted Units. </t>
  </si>
  <si>
    <t xml:space="preserve">Required Services: List and describe all services as required in §300 to be offered to tenants of the Homekey Assisted Units. </t>
  </si>
  <si>
    <t xml:space="preserve"> Resident Service</t>
  </si>
  <si>
    <t>Service Description</t>
  </si>
  <si>
    <t>Frequency</t>
  </si>
  <si>
    <t>Hours</t>
  </si>
  <si>
    <t>Service Provider</t>
  </si>
  <si>
    <t>Off-site Service Location</t>
  </si>
  <si>
    <t>List each service separately</t>
  </si>
  <si>
    <t>Describe service, including the degree to which services are provided.</t>
  </si>
  <si>
    <t>Frequency of services provided</t>
  </si>
  <si>
    <t xml:space="preserve">Provide the hours of availability </t>
  </si>
  <si>
    <t>Provider's Name</t>
  </si>
  <si>
    <t xml:space="preserve">If service is on-site, leave blank. Enter distance, in miles, to off-site service and list resident commuting options. Reasonable access is access that does not require walking more that one-half mile. </t>
  </si>
  <si>
    <t xml:space="preserve">Case management </t>
  </si>
  <si>
    <t>Behavioral health services</t>
  </si>
  <si>
    <t>Physical health services</t>
  </si>
  <si>
    <t>Assistance obtaining benefits and essential documentation</t>
  </si>
  <si>
    <t>Education and employment services</t>
  </si>
  <si>
    <t xml:space="preserve">Other services, such as housing retention skills, legal assistance, family connection services, etc. </t>
  </si>
  <si>
    <t>Other Residential Services (specify)</t>
  </si>
  <si>
    <t>Section 3: Supportive Services Coordination</t>
  </si>
  <si>
    <t>1. Describe the accessibility of community services to which you propose linkages, whether they are on-site or in close proximity to the Project, and the frequency, travel time and cost to the tenant for transportation required to access the services to include both public transportation and private transportation services (e.g. van owned by the provider). If available, provide documentation, in the form of Memorandum of Understanding, Memorandum of Agreement, letters of support or contracts demonstrating who will be responsible for ensuring access to services and how accessibility will be accomplished.</t>
  </si>
  <si>
    <t>2. Describe how the supportive services will be provided in a manner that is culturally and linguistically competent for persons of different races, ethnicities, sexual orientations, gender identities, and gender expressions. This includes explaining how services will be provided to Homekey tenants who do not speak English, or have other communication barriers, including sensory disabilities, and how communication among the services providers, the property manager and these tenants will be facilitated. Additionally, describe how services will accommodate trauma-based, barriers to services. If available, provide documentation, in the form of Memorandum of Understanding, Memorandum of Agreement, letters of support or contracts demonstrating who will be responsible for ensuring access to services and how accessibility will be accomplished.</t>
  </si>
  <si>
    <t>Part III. Staffing</t>
  </si>
  <si>
    <t>Section 1a: Staffing Description</t>
  </si>
  <si>
    <t>Describe the overall staffing pattern, including the roles and responsibilities for each position listed in the Staffing Chart below. List the target populations served through each position.</t>
  </si>
  <si>
    <t xml:space="preserve">List all staff positions that will provide services to the tenants of the Homekey Assisted Units. Include any staff positions of partnering organizations who have committed time to the Project. Include the services coordination staff. For each position, list the position title, minimum requirements, the full-time equivalent (FTE), the organization under which the position resides, and the location of the position (on-site or off-site). Do not include staff which serve non-Homekey Units. If a staff position serves both tenants in Homekey and non-Homekey units, include only that portion (i.e., % FTE) of the staff position dedicated to Homekey Assisted Units. Attach a copy of each positions duty statement, if these documents are available. </t>
  </si>
  <si>
    <t>NOTE: Indicate which staff position will be responsible for Homeless Management Information System data entry and CoC coordination.</t>
  </si>
  <si>
    <t>Minimum requirements</t>
  </si>
  <si>
    <t>Total FTE:</t>
  </si>
  <si>
    <t>Employing Organization</t>
  </si>
  <si>
    <t>Location</t>
  </si>
  <si>
    <t xml:space="preserve">List each staff position </t>
  </si>
  <si>
    <t>List min. required staff preparation include (education &amp; experience).</t>
  </si>
  <si>
    <r>
      <t xml:space="preserve">Indicate FTE staff positions for Homekey units (half-time is </t>
    </r>
    <r>
      <rPr>
        <b/>
        <sz val="11"/>
        <color theme="1"/>
        <rFont val="Arial"/>
        <family val="2"/>
      </rPr>
      <t>0.5</t>
    </r>
    <r>
      <rPr>
        <sz val="11"/>
        <color theme="1"/>
        <rFont val="Arial"/>
        <family val="2"/>
      </rPr>
      <t>)</t>
    </r>
  </si>
  <si>
    <t xml:space="preserve">List which organization will employ each staff position </t>
  </si>
  <si>
    <t>Select "On-Site" or "Off-Site"</t>
  </si>
  <si>
    <t xml:space="preserve">Section 2: Staffing Ratios </t>
  </si>
  <si>
    <t xml:space="preserve">1. Indicate the overall services staffing level for the Project by completing the calculation below. </t>
  </si>
  <si>
    <t>a.</t>
  </si>
  <si>
    <t>Total Homekey Assisted Units</t>
  </si>
  <si>
    <t>b.</t>
  </si>
  <si>
    <t>Total FTE Service Staff from the Staffing Chart for the Homekey Assisted Units - Provide only the number of ongoing direct service staff positions that will provide services to the tenants of the Homekey Assisted Units, (for example, case manager, psychiatric nurse, services coordinator, etc). Do not include supervisors, peer support positions, or HMIS Administration positions.</t>
  </si>
  <si>
    <t>c.</t>
  </si>
  <si>
    <t>Number of Homekey units per FTE Staff Person (a÷b)</t>
  </si>
  <si>
    <t>2. Complete case manager staffing ratio chart to show how many staff are assigned per client (for example 2:1, 3:1, etc.). Include all case management.</t>
  </si>
  <si>
    <t>Population Type:</t>
  </si>
  <si>
    <t>Chronically Homeless</t>
  </si>
  <si>
    <t xml:space="preserve">Homeless </t>
  </si>
  <si>
    <t xml:space="preserve"> At-Risk of Homelessness</t>
  </si>
  <si>
    <t>Case Manager Ratio</t>
  </si>
  <si>
    <t>Part IV. Supportive Services Budget</t>
  </si>
  <si>
    <t>Provide a line item supportive services budget for the Project using the format below. Complete both income and expense portions of the budget on a yearly basis. Include all costs associated with implementing your SSP, including any in-kind services. Include income and expenses for all staff positions and partnering organizations who have committed time to the Project. Total expenses should equal total income. Add expense item categories &amp; lines as necessary. Don't include costs associated with providing services in non-Homekey Assisted Units. If costs are associated with both Homekey &amp; non-Homekey Assisted Units, include only the Homekey Assisted Units portion.</t>
  </si>
  <si>
    <t>Income Source/Program Name</t>
  </si>
  <si>
    <t>Amount</t>
  </si>
  <si>
    <t>Type</t>
  </si>
  <si>
    <t>% of Total Budget</t>
  </si>
  <si>
    <t>Total Revenue</t>
  </si>
  <si>
    <t>Expense Item</t>
  </si>
  <si>
    <t>Staff Salaries: List by title of position. (This list must match the Staffing Chart above.)</t>
  </si>
  <si>
    <t>Staff Position</t>
  </si>
  <si>
    <t>FTE:</t>
  </si>
  <si>
    <t xml:space="preserve">Fringe Benefits </t>
  </si>
  <si>
    <t>Total Staff Expenses</t>
  </si>
  <si>
    <t>Tenant Transportation (per SSP)</t>
  </si>
  <si>
    <t>Staff training (per SSP)</t>
  </si>
  <si>
    <t>Equipment</t>
  </si>
  <si>
    <t>Supplies</t>
  </si>
  <si>
    <t>Travel</t>
  </si>
  <si>
    <t>Office Rent/Occupancy Costs (don't include rent/leasing costs for SH units)</t>
  </si>
  <si>
    <t>Training</t>
  </si>
  <si>
    <t>Consultants: List by Function</t>
  </si>
  <si>
    <t>Subcontractors/Partners-list by Entity/Service type</t>
  </si>
  <si>
    <t>Other Expenses: (type in expense description)</t>
  </si>
  <si>
    <t>Total Expenses</t>
  </si>
  <si>
    <t>Part V. Property Management Plans and Tenant Selection</t>
  </si>
  <si>
    <t>The Property Management Plan and tenant selection policies submitted with the Homekey application will be evaluated for the following consistent with state Housing First requirements. These documents must identify, describe, and utilize Housing First and low-barrier tenant selection processes that prioritize those with the highest needs for available housing. The descriptions of the use of Housing First and tenant selection in this SSP must be consistent with the Property Management Plan and the tenant selection policies. The Property Management Plan and tenant selection policies should address the following and be consistent with state Housing First requirements, as well as and other Homekey program requirements:
1. Applicant eligibility and screening standards
2. Confidentiality
3. Substance abuse policy
4. Communication between property manager and supportive services staff
5. Eviction policies and eviction prevention procedures
6. Process for assisting tenants to apply for different forms of cash and non-cash benefits to aid the household in retaining their housing, if needed
7. How applicants and residents will be assisted in making reasonable accommodation requests, in coordination with the services provider and persuasive to outside entities, such as Housing Authorities, to ensure that persons with disabilities have access to and can maintain housing
8. Policies and practices to facilitate Voluntary Moving On strategies
9. Appeal and Grievance Procedures</t>
  </si>
  <si>
    <t>Part VI. Measurable Outcomes and Plan for Evaluation</t>
  </si>
  <si>
    <t>Specific target populations will likely have varying outcomes and evaluation strategies. List outcomes and evaluations plans specific to each target population.</t>
  </si>
  <si>
    <r>
      <rPr>
        <b/>
        <sz val="11"/>
        <rFont val="Arial"/>
        <family val="2"/>
      </rPr>
      <t>Section 1:</t>
    </r>
    <r>
      <rPr>
        <sz val="11"/>
        <rFont val="Arial"/>
        <family val="2"/>
      </rPr>
      <t xml:space="preserve"> </t>
    </r>
    <r>
      <rPr>
        <b/>
        <sz val="11"/>
        <rFont val="Arial"/>
        <family val="2"/>
      </rPr>
      <t>Measurable Outcomes</t>
    </r>
  </si>
  <si>
    <t xml:space="preserve">Outcomes are what you expect to happen for the people served by your Project. Outcomes are sometimes called results. Outcome objectives are time-specific measurable goals that identify how you know if you are achieving your desired results. Outcome objectives are sometimes called outcome benchmarks or indicators. Categorize the outcomes for your Project into the following three categories: </t>
  </si>
  <si>
    <t>Category</t>
  </si>
  <si>
    <t>Outcomes</t>
  </si>
  <si>
    <t>Outcome Objectives</t>
  </si>
  <si>
    <r>
      <t>Residential Stability:</t>
    </r>
    <r>
      <rPr>
        <sz val="11"/>
        <rFont val="Arial"/>
        <family val="2"/>
      </rPr>
      <t xml:space="preserve"> Tenants maintain permanent housing (see examples in cell comments to the right)</t>
    </r>
  </si>
  <si>
    <r>
      <rPr>
        <b/>
        <sz val="11"/>
        <rFont val="Arial"/>
        <family val="2"/>
      </rPr>
      <t xml:space="preserve">Increased Skills and/or Income: </t>
    </r>
    <r>
      <rPr>
        <sz val="11"/>
        <rFont val="Arial"/>
        <family val="2"/>
      </rPr>
      <t>Tenants gain job-related skills, participate in job-related training and/or education, gain stipend part-time or full-time supported employment, gain access to mainstream service/income support Programs for which they are eligible (see examples in cell comments to the right)</t>
    </r>
  </si>
  <si>
    <r>
      <t xml:space="preserve">Greater Self- Determination: </t>
    </r>
    <r>
      <rPr>
        <sz val="11"/>
        <rFont val="Arial"/>
        <family val="2"/>
      </rPr>
      <t>Tenants gain daily living skills and ability to plan and advocate for themselves to maximize independence and self-sufficiency (see examples in cell comments to the right)</t>
    </r>
  </si>
  <si>
    <t>Other (specify)</t>
  </si>
  <si>
    <t>Describe your evaluation plan, including how you intend to collect, track and analyze data on the effectiveness of your Project, including the outcomes Projected above. Indicate who will analyze the data and perform your Program evaluation. (e.g., staff, consultant, etc.).</t>
  </si>
  <si>
    <t>Local Jurisdiction and NEPA Responsible Entity Verification (if applicable)</t>
  </si>
  <si>
    <r>
      <rPr>
        <b/>
        <sz val="11"/>
        <rFont val="Arial"/>
        <family val="2"/>
      </rPr>
      <t xml:space="preserve">Applicant: </t>
    </r>
    <r>
      <rPr>
        <sz val="11"/>
        <rFont val="Arial"/>
        <family val="2"/>
      </rPr>
      <t xml:space="preserve">Submit this form to the agency or department of local government responsible for administration of the items listed. This form may be submitted to more than one agency or department if necessary. If the NEPA Responsible Entity is not a local government (e.g. State of Calif. HOME Program, USDA RD), also submit a copy of this form to the appropriate NEPA Responsible Entity. If an item is not required, indicate the reason in the box below. </t>
    </r>
    <r>
      <rPr>
        <b/>
        <sz val="11"/>
        <color rgb="FFC00000"/>
        <rFont val="Arial"/>
        <family val="2"/>
      </rPr>
      <t xml:space="preserve">Complete both Sections 1 &amp; 2. </t>
    </r>
  </si>
  <si>
    <t xml:space="preserve">Project Applicant: </t>
  </si>
  <si>
    <t>Applicant Address:</t>
  </si>
  <si>
    <t>Applicant City:</t>
  </si>
  <si>
    <t xml:space="preserve">Project Name: </t>
  </si>
  <si>
    <t xml:space="preserve">Project Address/site: </t>
  </si>
  <si>
    <t xml:space="preserve">Project City: </t>
  </si>
  <si>
    <t xml:space="preserve">Project County: </t>
  </si>
  <si>
    <t>Assessor Parcel Numbers (APNs):</t>
  </si>
  <si>
    <t>Section 1</t>
  </si>
  <si>
    <r>
      <rPr>
        <b/>
        <sz val="11"/>
        <rFont val="Arial"/>
        <family val="2"/>
      </rPr>
      <t xml:space="preserve">Local jurisdiction or NEPA Responsible Entity: </t>
    </r>
    <r>
      <rPr>
        <sz val="11"/>
        <rFont val="Arial"/>
        <family val="2"/>
      </rPr>
      <t>The Applicant named above has submitted an application to the State Dept. of Housing and Community Development (the Department) requesting funding for the project named above, under the Homekey program. Projects submitted for program funding are subject to a competitive rating process. Project readiness is a component of that process. Verification of items listed below will be used in evaluating Homekey applications.</t>
    </r>
  </si>
  <si>
    <t>Not Required for this Project</t>
  </si>
  <si>
    <t>Final date of Public Comment Period</t>
  </si>
  <si>
    <t>Approved Date</t>
  </si>
  <si>
    <t>All Environmental Clearances (CEQA and NEPA) necessary to begin construction are either final approved or unnecessary:</t>
  </si>
  <si>
    <t>Specify in the box below, items not required and explain why (include documentation, if applicable):</t>
  </si>
  <si>
    <t>Section 2</t>
  </si>
  <si>
    <t>Note: Any project using Homekey funds for any of the purposes listed in the Homekey NOFA is deemed consistent with “local plan, standard, or requirement, and any applicable coastal plan, local or otherwise,” and “allowed as a permitted use, within the zone in which the structure is located, and shall not be subject to a conditional use permit, discretionary permit, or any other discretionary reviews or approvals.” (Health and Safety Code 50675.1.3 (i))</t>
  </si>
  <si>
    <t>Verified as Complete and date completed</t>
  </si>
  <si>
    <t xml:space="preserve">All necessary land use approvals or entitlements necessary prior to issuance of a building permit, including any required discretionary approvals, such as site plan or design review. </t>
  </si>
  <si>
    <r>
      <rPr>
        <b/>
        <sz val="11"/>
        <rFont val="Arial"/>
        <family val="2"/>
      </rPr>
      <t>Project Applicant has submitted a complete application to the relevant local authorities for land use approval under a nondiscretionary local approval process, where the application has been neither approved or disapproved.</t>
    </r>
    <r>
      <rPr>
        <sz val="11"/>
        <rFont val="Arial"/>
        <family val="2"/>
      </rPr>
      <t xml:space="preserve"> A nondiscretionary local approval process is one that includes little or no subjective judgement by the public official and is limited to ensuring that the proposed development meets a set of objective zoning, design review and/or subdivision standards in effect at the time the application is submitted to the local government. A “nondiscretionary local approval process” includes Streamlined Ministerial Approval Processing under to Chapter 366, Statutes of 2017 (SB 35), By-Right Processing for Permanent Supportive Housing under Chapter 753, Statutes of 2018 (AB 2162), housing element law (Government Code Section 65583.2(i)), or other local process that meets the definition of non-discretionary approval process.</t>
    </r>
  </si>
  <si>
    <t xml:space="preserve">Projects located within the boundaries of an incorporated city, the city shall make the necessary determinations, and for Projects located in the unincorporated areas of a county, the county shall make the necessary determinations. The appropriate entity shall sign below. </t>
  </si>
  <si>
    <t>Dated:</t>
  </si>
  <si>
    <t>Statement completed by:</t>
  </si>
  <si>
    <t>Signature:</t>
  </si>
  <si>
    <t>Title:</t>
  </si>
  <si>
    <t>Agency or Department Name:</t>
  </si>
  <si>
    <t>Agency or Department Address:</t>
  </si>
  <si>
    <t>Agency or Department Phone:</t>
  </si>
  <si>
    <t>§205 Maximum Program Award, Capital Funding Match, and Rent/Subsidy Revenue</t>
  </si>
  <si>
    <t>Doors at Acquisition</t>
  </si>
  <si>
    <t>Monthly Unit Rent</t>
  </si>
  <si>
    <t>Subsidy Program #1 Name</t>
  </si>
  <si>
    <t>Subsidy Program #2 Name</t>
  </si>
  <si>
    <t>Target Population - Homekey Assisted Units (Article VII)</t>
  </si>
  <si>
    <t>Bdrm size</t>
  </si>
  <si>
    <t>Baseline Award based on Units and Bdrm Size at Acquisition</t>
  </si>
  <si>
    <t>Number of Units Proposed</t>
  </si>
  <si>
    <t>Unit Size (Square Feet)</t>
  </si>
  <si>
    <t>Income Limit AMI</t>
  </si>
  <si>
    <t>Mngr Units</t>
  </si>
  <si>
    <t>Restricted</t>
  </si>
  <si>
    <t>Proposed Rent for Restricted Units</t>
  </si>
  <si>
    <t>Unrestricted</t>
  </si>
  <si>
    <r>
      <t>Monthly Utility Allowance</t>
    </r>
    <r>
      <rPr>
        <b/>
        <vertAlign val="superscript"/>
        <sz val="10"/>
        <color theme="1"/>
        <rFont val="Arial"/>
        <family val="2"/>
      </rPr>
      <t>1</t>
    </r>
  </si>
  <si>
    <t>Subsidy Units</t>
  </si>
  <si>
    <t>Monthly Rent Subsidy Amount</t>
  </si>
  <si>
    <t>At-Risk of Homelessness Units</t>
  </si>
  <si>
    <t>Chronically Homeless Units</t>
  </si>
  <si>
    <t>Homeless Units</t>
  </si>
  <si>
    <t>Homeless Youth or Youth at Risk of Homelessness Units</t>
  </si>
  <si>
    <t>Total Assisted Units</t>
  </si>
  <si>
    <t>Baseline Award based on Units and Proposed Population Served</t>
  </si>
  <si>
    <t>Baseline Award based on Units and Proposed Bdrm Size</t>
  </si>
  <si>
    <t>Maximum Baseline Award based on Proposed Project</t>
  </si>
  <si>
    <t>Total Unit Square Feet</t>
  </si>
  <si>
    <t>% of Total Unit Square Feet</t>
  </si>
  <si>
    <t>Unit's Pro-Rated Share of Project Cost Based on Square Feet</t>
  </si>
  <si>
    <t xml:space="preserve">
Non-Assisted Units Project Costs
(Applicant must fund)</t>
  </si>
  <si>
    <t xml:space="preserve"> Project Cost Assisted Units</t>
  </si>
  <si>
    <t>Adjusted Award
lesser of Assisted Unit Project Cost and Baseline</t>
  </si>
  <si>
    <t>Funding Gap on Assisted Units</t>
  </si>
  <si>
    <t>Per Unit Funding Gap</t>
  </si>
  <si>
    <t>Per Unit Local Match (Lesser of Per Unit Funding Gap and $100,000)</t>
  </si>
  <si>
    <t>Additional Per Unit Award (Equal to Local Match)</t>
  </si>
  <si>
    <t>Maximum Additional Award
(Equal to Maximum Local Match)</t>
  </si>
  <si>
    <t>Maximum Capital Award</t>
  </si>
  <si>
    <t>Total Restricted Units</t>
  </si>
  <si>
    <t>Total Unrestricted Units</t>
  </si>
  <si>
    <t>Total Net Monthly Restricted Rent</t>
  </si>
  <si>
    <t>Total Net Monthly Proposed Rent</t>
  </si>
  <si>
    <t>Total Monthly Unrestricted Rent</t>
  </si>
  <si>
    <t>Look up field</t>
  </si>
  <si>
    <t>Total</t>
  </si>
  <si>
    <t>Annual Net Rents</t>
  </si>
  <si>
    <t>Annual Subsidy Revenue</t>
  </si>
  <si>
    <r>
      <t xml:space="preserve">Total Budgeted Development costs </t>
    </r>
    <r>
      <rPr>
        <sz val="10"/>
        <color rgb="FFC00000"/>
        <rFont val="Arial"/>
        <family val="2"/>
      </rPr>
      <t>from 'Dev Budget' worksheet cell L123</t>
    </r>
  </si>
  <si>
    <t>Utility Allowance</t>
  </si>
  <si>
    <r>
      <rPr>
        <vertAlign val="superscript"/>
        <sz val="11"/>
        <rFont val="Arial"/>
        <family val="2"/>
      </rPr>
      <t>1</t>
    </r>
    <r>
      <rPr>
        <sz val="11"/>
        <rFont val="Arial"/>
        <family val="2"/>
      </rPr>
      <t>Local housing authority document showing current utility allowance chart, with relevant components circled.</t>
    </r>
  </si>
  <si>
    <t>Homekey Award including Capital (Baseline and Match), Operating Subsidy, Relocation, and Bonuses</t>
  </si>
  <si>
    <t>Appraisal</t>
  </si>
  <si>
    <t>If land costs will be included in the Development Budget, attach an appraisal dated within 60 days of the application submittal date.</t>
  </si>
  <si>
    <t>Proposed Project Units by Bedroom Size</t>
  </si>
  <si>
    <t>§205 Capital Award Calculation</t>
  </si>
  <si>
    <t>HCD Amount</t>
  </si>
  <si>
    <t>Requested Amount</t>
  </si>
  <si>
    <t>Actual Amount</t>
  </si>
  <si>
    <t>Total 0 bedroom units</t>
  </si>
  <si>
    <t>1. Maximum Homekey Capital Award based on:</t>
  </si>
  <si>
    <t>Total 1 bedroom units</t>
  </si>
  <si>
    <r>
      <t xml:space="preserve">2. Maximum Homekey Contribution (match) Award </t>
    </r>
    <r>
      <rPr>
        <sz val="11"/>
        <color rgb="FFC00000"/>
        <rFont val="Arial"/>
        <family val="2"/>
      </rPr>
      <t>from above cell AJ25</t>
    </r>
  </si>
  <si>
    <t>Total 2 bedroom units</t>
  </si>
  <si>
    <r>
      <t>A. Total Maximum Homekey Capital Award</t>
    </r>
    <r>
      <rPr>
        <sz val="11"/>
        <rFont val="Arial"/>
        <family val="2"/>
      </rPr>
      <t xml:space="preserve"> </t>
    </r>
    <r>
      <rPr>
        <sz val="11"/>
        <color rgb="FFC00000"/>
        <rFont val="Arial"/>
        <family val="2"/>
      </rPr>
      <t>(1 + 2)</t>
    </r>
  </si>
  <si>
    <t>Total 3 bedroom units</t>
  </si>
  <si>
    <r>
      <t>Capital Award based on how many Assisted Units</t>
    </r>
    <r>
      <rPr>
        <sz val="11"/>
        <color rgb="FFC00000"/>
        <rFont val="Arial"/>
        <family val="2"/>
      </rPr>
      <t xml:space="preserve"> from above cell U25</t>
    </r>
  </si>
  <si>
    <r>
      <t xml:space="preserve">Total proposed Project units </t>
    </r>
    <r>
      <rPr>
        <sz val="11"/>
        <color rgb="FFC00000"/>
        <rFont val="Arial"/>
        <family val="2"/>
      </rPr>
      <t>from above cell E25</t>
    </r>
  </si>
  <si>
    <t>Total 4 bedroom units</t>
  </si>
  <si>
    <t>§206 Homekey Operating Subsidy Calculation</t>
  </si>
  <si>
    <t>Monthly Amount</t>
  </si>
  <si>
    <t>Total 5 Bedroom units</t>
  </si>
  <si>
    <r>
      <t xml:space="preserve">i.a. Assisted Units reserved for those experiencing Chronic Homelessness, for Homeless Youth, or for Youth at Risk of Homelessness </t>
    </r>
    <r>
      <rPr>
        <sz val="11"/>
        <color rgb="FFC00000"/>
        <rFont val="Arial"/>
        <family val="2"/>
      </rPr>
      <t>from above cells R25 + T25</t>
    </r>
  </si>
  <si>
    <t>Monthly amount per unit</t>
  </si>
  <si>
    <t>Total proposed units</t>
  </si>
  <si>
    <r>
      <t>i.b. All other Assisted Units</t>
    </r>
    <r>
      <rPr>
        <sz val="11"/>
        <color rgb="FFC00000"/>
        <rFont val="Arial"/>
        <family val="2"/>
      </rPr>
      <t xml:space="preserve"> from above cells Q25 + S25</t>
    </r>
  </si>
  <si>
    <t>Total qualifying monthly amount per unit</t>
  </si>
  <si>
    <t>Assisted Units by Bedroom Size</t>
  </si>
  <si>
    <t>Operating Subsidy: Maximum Homekey Amount</t>
  </si>
  <si>
    <t>Annual Amount</t>
  </si>
  <si>
    <r>
      <t xml:space="preserve">ii. Operating Subsidy Source: </t>
    </r>
    <r>
      <rPr>
        <sz val="11"/>
        <color rgb="FFC00000"/>
        <rFont val="Arial"/>
        <family val="2"/>
      </rPr>
      <t>'Operating' worksheet cell C38</t>
    </r>
  </si>
  <si>
    <t>Subsidy term
(in years)</t>
  </si>
  <si>
    <t>Qualifying Homekey subsidy years</t>
  </si>
  <si>
    <r>
      <t xml:space="preserve">ii. Operating Subsidy Source: </t>
    </r>
    <r>
      <rPr>
        <sz val="11"/>
        <color rgb="FFC00000"/>
        <rFont val="Arial"/>
        <family val="2"/>
      </rPr>
      <t>'Operating' worksheet cell C39</t>
    </r>
  </si>
  <si>
    <r>
      <t xml:space="preserve">iii. Operating Subsidy Need Analysis - sum of negative Net Operating Income </t>
    </r>
    <r>
      <rPr>
        <sz val="11"/>
        <color rgb="FFC00000"/>
        <rFont val="Arial"/>
        <family val="2"/>
      </rPr>
      <t>from 'Cash Flow' worksheet row 43</t>
    </r>
    <r>
      <rPr>
        <sz val="11"/>
        <rFont val="Arial"/>
        <family val="2"/>
      </rPr>
      <t xml:space="preserve"> and Reserve Deposits</t>
    </r>
    <r>
      <rPr>
        <sz val="11"/>
        <color rgb="FFC00000"/>
        <rFont val="Arial"/>
        <family val="2"/>
      </rPr>
      <t xml:space="preserve"> from 'Cash Flow' worksheet rows 37 and 38 </t>
    </r>
    <r>
      <rPr>
        <sz val="11"/>
        <rFont val="Arial"/>
        <family val="2"/>
      </rPr>
      <t>for the first five years</t>
    </r>
  </si>
  <si>
    <t>Operating Subsidy: Need Analysis</t>
  </si>
  <si>
    <t>Year 1</t>
  </si>
  <si>
    <t>Year 2</t>
  </si>
  <si>
    <t>Year 3</t>
  </si>
  <si>
    <t>Year 4</t>
  </si>
  <si>
    <t>Year 5</t>
  </si>
  <si>
    <t>Five Year Total</t>
  </si>
  <si>
    <t>'Cash Flow' worksheet</t>
  </si>
  <si>
    <t>iv. If requesting an operating subsidy, upload a letter of support from the local Continuum of Care (CoC) or Housing Authority confirming the need for an operating subsidy and evidencing other operating funding, such as rental subsidies, were sought for the Project, but the funding isn’t available for this use.</t>
  </si>
  <si>
    <t>Total Assisted units</t>
  </si>
  <si>
    <t>Op Subsidy Confirmation</t>
  </si>
  <si>
    <r>
      <rPr>
        <sz val="11"/>
        <rFont val="Arial"/>
        <family val="2"/>
      </rPr>
      <t xml:space="preserve">A letter template and a list of potential Homekey complementary funding can be found on the </t>
    </r>
    <r>
      <rPr>
        <u/>
        <sz val="11"/>
        <color theme="10"/>
        <rFont val="Arial"/>
        <family val="2"/>
      </rPr>
      <t>Homekey</t>
    </r>
    <r>
      <rPr>
        <sz val="11"/>
        <rFont val="Arial"/>
        <family val="2"/>
      </rPr>
      <t xml:space="preserve"> webpage.</t>
    </r>
  </si>
  <si>
    <r>
      <t>B. Homekey Operating Subsidy</t>
    </r>
    <r>
      <rPr>
        <sz val="11"/>
        <rFont val="Arial"/>
        <family val="2"/>
      </rPr>
      <t xml:space="preserve"> </t>
    </r>
    <r>
      <rPr>
        <sz val="11"/>
        <color rgb="FFC00000"/>
        <rFont val="Arial"/>
        <family val="2"/>
      </rPr>
      <t>if requested in 'Overview' worksheet cell AK129</t>
    </r>
    <r>
      <rPr>
        <sz val="11"/>
        <rFont val="Arial"/>
        <family val="2"/>
      </rPr>
      <t xml:space="preserve"> </t>
    </r>
    <r>
      <rPr>
        <b/>
        <sz val="11"/>
        <color rgb="FF0000FF"/>
        <rFont val="Arial"/>
        <family val="2"/>
      </rPr>
      <t>(lesser of Need Analysis and Max Homkey Amount)</t>
    </r>
  </si>
  <si>
    <r>
      <t xml:space="preserve">50% of Relocation Costs </t>
    </r>
    <r>
      <rPr>
        <sz val="11"/>
        <color rgb="FFC00000"/>
        <rFont val="Arial"/>
        <family val="2"/>
      </rPr>
      <t>if requested on 'Overview' worksheet cell AK128 ('Dev Budget' worksheet cell L31 x .5)</t>
    </r>
  </si>
  <si>
    <r>
      <t xml:space="preserve">§207 Bonus Award: will Application be submitted before Feb. 1, 2022? </t>
    </r>
    <r>
      <rPr>
        <sz val="11"/>
        <color rgb="FFC00000"/>
        <rFont val="Arial"/>
        <family val="2"/>
      </rPr>
      <t>If Yes, $10,000 bonus award per Assisted unit</t>
    </r>
  </si>
  <si>
    <r>
      <t xml:space="preserve">§207 Bonus Award: will Project’s Assisted units achieve full occupancy within eight months of award date? </t>
    </r>
    <r>
      <rPr>
        <sz val="11"/>
        <color rgb="FFC00000"/>
        <rFont val="Arial"/>
        <family val="2"/>
      </rPr>
      <t>If Yes, $10,000 bonus award per Assisted unit</t>
    </r>
  </si>
  <si>
    <t>C. Total Other Homekey Award</t>
  </si>
  <si>
    <t>Maximum Homekey Program Award (Capital plus Operating Subsidy plus Other) (A + B + C)</t>
  </si>
  <si>
    <t>2021 HOME &amp; NHTF</t>
  </si>
  <si>
    <t>lim50_21p1</t>
  </si>
  <si>
    <t>lim50_21p2</t>
  </si>
  <si>
    <t>lim50_21p3</t>
  </si>
  <si>
    <t>lim50_21p4</t>
  </si>
  <si>
    <t>lim50_21p5</t>
  </si>
  <si>
    <t>lim50_21p6</t>
  </si>
  <si>
    <t>lim50_21p7</t>
  </si>
  <si>
    <t>lim50_21p8</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</si>
  <si>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</si>
  <si>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</si>
  <si>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</si>
  <si>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</si>
  <si>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</si>
  <si>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</si>
  <si>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</si>
  <si>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</si>
  <si>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</si>
  <si>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</si>
  <si>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</si>
  <si>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</si>
  <si>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</si>
  <si>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</si>
  <si>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</si>
  <si>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</si>
  <si>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</si>
  <si>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</si>
  <si>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</si>
  <si>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</si>
  <si>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</si>
  <si>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</si>
  <si>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</si>
  <si>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</si>
  <si>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</si>
  <si>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</si>
  <si>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</si>
  <si>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</si>
  <si>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</si>
  <si>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</si>
  <si>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</si>
  <si>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</si>
  <si>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</si>
  <si>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</si>
  <si>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</si>
  <si>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</si>
  <si>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</si>
  <si>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</si>
  <si>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</si>
  <si>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</si>
  <si>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</si>
  <si>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</si>
  <si>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</si>
  <si>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</si>
  <si>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</si>
  <si>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</si>
  <si>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</si>
  <si>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</si>
  <si>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</si>
  <si>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</si>
  <si>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</si>
  <si>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</si>
  <si>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</si>
  <si>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</si>
  <si>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</si>
  <si>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</si>
  <si>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</si>
  <si>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</si>
  <si>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County</t>
  </si>
  <si>
    <t>1 Person</t>
  </si>
  <si>
    <t>2 Person</t>
  </si>
  <si>
    <t>3 Person</t>
  </si>
  <si>
    <t>4 Person</t>
  </si>
  <si>
    <t>5 Person</t>
  </si>
  <si>
    <t>6 Person</t>
  </si>
  <si>
    <t>7 Person</t>
  </si>
  <si>
    <t>8 Person</t>
  </si>
  <si>
    <t>Alameda0.15</t>
  </si>
  <si>
    <t>Alameda0.2</t>
  </si>
  <si>
    <t>Alameda0.25</t>
  </si>
  <si>
    <t>Alameda0.3</t>
  </si>
  <si>
    <t>Alameda0.35</t>
  </si>
  <si>
    <t>Alameda0.4</t>
  </si>
  <si>
    <t>Alameda0.45</t>
  </si>
  <si>
    <t>Alameda0.5</t>
  </si>
  <si>
    <t>Alameda0.55</t>
  </si>
  <si>
    <t>Alameda0.6</t>
  </si>
  <si>
    <t>Alameda0.65</t>
  </si>
  <si>
    <t>Alameda0.7</t>
  </si>
  <si>
    <t>Alameda0.75</t>
  </si>
  <si>
    <t>Alameda0.8</t>
  </si>
  <si>
    <t>Alameda0.9</t>
  </si>
  <si>
    <t>Alameda1</t>
  </si>
  <si>
    <t>Alameda1.1</t>
  </si>
  <si>
    <t>Alameda1.2</t>
  </si>
  <si>
    <t>Alpine0.15</t>
  </si>
  <si>
    <t>Alpine0.2</t>
  </si>
  <si>
    <t>Alpine0.25</t>
  </si>
  <si>
    <t>Alpine0.3</t>
  </si>
  <si>
    <t>Alpine0.35</t>
  </si>
  <si>
    <t>Alpine0.4</t>
  </si>
  <si>
    <t>Alpine0.45</t>
  </si>
  <si>
    <t>Alpine0.5</t>
  </si>
  <si>
    <t>Alpine0.55</t>
  </si>
  <si>
    <t>Alpine0.6</t>
  </si>
  <si>
    <t>Alpine0.65</t>
  </si>
  <si>
    <t>Alpine0.7</t>
  </si>
  <si>
    <t>Alpine0.75</t>
  </si>
  <si>
    <t>Alpine0.8</t>
  </si>
  <si>
    <t>Alpine0.9</t>
  </si>
  <si>
    <t>Alpine1</t>
  </si>
  <si>
    <t>Alpine1.1</t>
  </si>
  <si>
    <t>Alpine1.2</t>
  </si>
  <si>
    <t>Amador0.15</t>
  </si>
  <si>
    <t>Amador0.2</t>
  </si>
  <si>
    <t>Amador0.25</t>
  </si>
  <si>
    <t>Amador0.3</t>
  </si>
  <si>
    <t>Amador0.35</t>
  </si>
  <si>
    <t>Amador0.4</t>
  </si>
  <si>
    <t>Amador0.45</t>
  </si>
  <si>
    <t>Amador0.5</t>
  </si>
  <si>
    <t>Amador0.55</t>
  </si>
  <si>
    <t>Amador0.6</t>
  </si>
  <si>
    <t>Amador0.65</t>
  </si>
  <si>
    <t>Amador0.7</t>
  </si>
  <si>
    <t>Amador0.75</t>
  </si>
  <si>
    <t>Amador0.8</t>
  </si>
  <si>
    <t>Amador0.9</t>
  </si>
  <si>
    <t>Amador1</t>
  </si>
  <si>
    <t>Amador1.1</t>
  </si>
  <si>
    <t>Amador1.2</t>
  </si>
  <si>
    <t>Butte0.15</t>
  </si>
  <si>
    <t>Butte0.2</t>
  </si>
  <si>
    <t>Butte0.25</t>
  </si>
  <si>
    <t>Butte0.3</t>
  </si>
  <si>
    <t>Butte0.35</t>
  </si>
  <si>
    <t>Butte0.4</t>
  </si>
  <si>
    <t>Butte0.45</t>
  </si>
  <si>
    <t>Butte0.5</t>
  </si>
  <si>
    <t>Butte0.55</t>
  </si>
  <si>
    <t>Butte0.6</t>
  </si>
  <si>
    <t>Butte0.65</t>
  </si>
  <si>
    <t>Butte0.7</t>
  </si>
  <si>
    <t>Butte0.75</t>
  </si>
  <si>
    <t>Butte0.8</t>
  </si>
  <si>
    <t>Butte0.9</t>
  </si>
  <si>
    <t>Butte1</t>
  </si>
  <si>
    <t>Butte1.1</t>
  </si>
  <si>
    <t>Butte1.2</t>
  </si>
  <si>
    <t>Calaveras0.15</t>
  </si>
  <si>
    <t>Calaveras0.2</t>
  </si>
  <si>
    <t>Calaveras0.25</t>
  </si>
  <si>
    <t>Calaveras0.3</t>
  </si>
  <si>
    <t>Calaveras0.35</t>
  </si>
  <si>
    <t>Calaveras0.4</t>
  </si>
  <si>
    <t>Calaveras0.45</t>
  </si>
  <si>
    <t>Calaveras0.5</t>
  </si>
  <si>
    <t>Calaveras0.55</t>
  </si>
  <si>
    <t>Calaveras0.6</t>
  </si>
  <si>
    <t>Calaveras0.65</t>
  </si>
  <si>
    <t>Calaveras0.7</t>
  </si>
  <si>
    <t>Calaveras0.75</t>
  </si>
  <si>
    <t>Calaveras0.8</t>
  </si>
  <si>
    <t>Calaveras0.9</t>
  </si>
  <si>
    <t>Calaveras1</t>
  </si>
  <si>
    <t>Calaveras1.1</t>
  </si>
  <si>
    <t>Calaveras1.2</t>
  </si>
  <si>
    <t>Colusa0.15</t>
  </si>
  <si>
    <t>Colusa0.2</t>
  </si>
  <si>
    <t>Colusa0.25</t>
  </si>
  <si>
    <t>Colusa0.3</t>
  </si>
  <si>
    <t>Colusa0.35</t>
  </si>
  <si>
    <t>Colusa0.4</t>
  </si>
  <si>
    <t>Colusa0.45</t>
  </si>
  <si>
    <t>Colusa0.5</t>
  </si>
  <si>
    <t>Colusa0.55</t>
  </si>
  <si>
    <t>Colusa0.6</t>
  </si>
  <si>
    <t>Colusa0.65</t>
  </si>
  <si>
    <t>Colusa0.7</t>
  </si>
  <si>
    <t>Colusa0.75</t>
  </si>
  <si>
    <t>Colusa0.8</t>
  </si>
  <si>
    <t>Colusa0.9</t>
  </si>
  <si>
    <t>Colusa1</t>
  </si>
  <si>
    <t>Colusa1.1</t>
  </si>
  <si>
    <t>Colusa1.2</t>
  </si>
  <si>
    <t>Contra Costa0.15</t>
  </si>
  <si>
    <t>Contra Costa0.2</t>
  </si>
  <si>
    <t>Contra Costa0.25</t>
  </si>
  <si>
    <t>Contra Costa0.3</t>
  </si>
  <si>
    <t>Contra Costa0.35</t>
  </si>
  <si>
    <t>Contra Costa0.4</t>
  </si>
  <si>
    <t>Contra Costa0.45</t>
  </si>
  <si>
    <t>Contra Costa0.5</t>
  </si>
  <si>
    <t>Contra Costa0.55</t>
  </si>
  <si>
    <t>Contra Costa0.6</t>
  </si>
  <si>
    <t>Contra Costa0.65</t>
  </si>
  <si>
    <t>Contra Costa0.7</t>
  </si>
  <si>
    <t>Contra Costa0.75</t>
  </si>
  <si>
    <t>Contra Costa0.8</t>
  </si>
  <si>
    <t>Contra Costa0.9</t>
  </si>
  <si>
    <t>Contra Costa1</t>
  </si>
  <si>
    <t>Contra Costa1.1</t>
  </si>
  <si>
    <t>Contra Costa1.2</t>
  </si>
  <si>
    <t>Del Norte0.15</t>
  </si>
  <si>
    <t>Del Norte0.2</t>
  </si>
  <si>
    <t>Del Norte0.25</t>
  </si>
  <si>
    <t>Del Norte0.3</t>
  </si>
  <si>
    <t>Del Norte0.35</t>
  </si>
  <si>
    <t>Del Norte0.4</t>
  </si>
  <si>
    <t>Del Norte0.45</t>
  </si>
  <si>
    <t>Del Norte0.5</t>
  </si>
  <si>
    <t>Del Norte0.55</t>
  </si>
  <si>
    <t>Del Norte0.6</t>
  </si>
  <si>
    <t>Del Norte0.65</t>
  </si>
  <si>
    <t>Del Norte0.7</t>
  </si>
  <si>
    <t>Del Norte0.75</t>
  </si>
  <si>
    <t>Del Norte0.8</t>
  </si>
  <si>
    <t>Del Norte0.9</t>
  </si>
  <si>
    <t>Del Norte1</t>
  </si>
  <si>
    <t>Del Norte1.1</t>
  </si>
  <si>
    <t>Del Norte1.2</t>
  </si>
  <si>
    <t>El Dorado0.15</t>
  </si>
  <si>
    <t>El Dorado0.2</t>
  </si>
  <si>
    <t>El Dorado0.25</t>
  </si>
  <si>
    <t>El Dorado0.3</t>
  </si>
  <si>
    <t>El Dorado0.35</t>
  </si>
  <si>
    <t>El Dorado0.4</t>
  </si>
  <si>
    <t>El Dorado0.45</t>
  </si>
  <si>
    <t>El Dorado0.5</t>
  </si>
  <si>
    <t>El Dorado0.55</t>
  </si>
  <si>
    <t>El Dorado0.6</t>
  </si>
  <si>
    <t>El Dorado0.65</t>
  </si>
  <si>
    <t>El Dorado0.7</t>
  </si>
  <si>
    <t>El Dorado0.75</t>
  </si>
  <si>
    <t>El Dorado0.8</t>
  </si>
  <si>
    <t>El Dorado0.9</t>
  </si>
  <si>
    <t>El Dorado1</t>
  </si>
  <si>
    <t>El Dorado1.1</t>
  </si>
  <si>
    <t>El Dorado1.2</t>
  </si>
  <si>
    <t>Fresno0.15</t>
  </si>
  <si>
    <t>Fresno0.2</t>
  </si>
  <si>
    <t>Fresno0.25</t>
  </si>
  <si>
    <t>Fresno0.3</t>
  </si>
  <si>
    <t>Fresno0.35</t>
  </si>
  <si>
    <t>Fresno0.4</t>
  </si>
  <si>
    <t>Fresno0.45</t>
  </si>
  <si>
    <t>Fresno0.5</t>
  </si>
  <si>
    <t>Fresno0.55</t>
  </si>
  <si>
    <t>Fresno0.6</t>
  </si>
  <si>
    <t>Fresno0.65</t>
  </si>
  <si>
    <t>Fresno0.7</t>
  </si>
  <si>
    <t>Fresno0.75</t>
  </si>
  <si>
    <t>Fresno0.8</t>
  </si>
  <si>
    <t>Fresno0.9</t>
  </si>
  <si>
    <t>Fresno1</t>
  </si>
  <si>
    <t>Fresno1.1</t>
  </si>
  <si>
    <t>Fresno1.2</t>
  </si>
  <si>
    <t>Glenn0.15</t>
  </si>
  <si>
    <t>Glenn0.2</t>
  </si>
  <si>
    <t>Glenn0.25</t>
  </si>
  <si>
    <t>Glenn0.3</t>
  </si>
  <si>
    <t>Glenn0.35</t>
  </si>
  <si>
    <t>Glenn0.4</t>
  </si>
  <si>
    <t>Glenn0.45</t>
  </si>
  <si>
    <t>Glenn0.5</t>
  </si>
  <si>
    <t>Glenn0.55</t>
  </si>
  <si>
    <t>Glenn0.6</t>
  </si>
  <si>
    <t>Glenn0.65</t>
  </si>
  <si>
    <t>Glenn0.7</t>
  </si>
  <si>
    <t>Glenn0.75</t>
  </si>
  <si>
    <t>Glenn0.8</t>
  </si>
  <si>
    <t>Glenn0.9</t>
  </si>
  <si>
    <t>Glenn1</t>
  </si>
  <si>
    <t>Glenn1.1</t>
  </si>
  <si>
    <t>Glenn1.2</t>
  </si>
  <si>
    <t>Humboldt0.15</t>
  </si>
  <si>
    <t>Humboldt0.2</t>
  </si>
  <si>
    <t>Humboldt0.25</t>
  </si>
  <si>
    <t>Humboldt0.3</t>
  </si>
  <si>
    <t>Humboldt0.35</t>
  </si>
  <si>
    <t>Humboldt0.4</t>
  </si>
  <si>
    <t>Humboldt0.45</t>
  </si>
  <si>
    <t>Humboldt0.5</t>
  </si>
  <si>
    <t>Humboldt0.55</t>
  </si>
  <si>
    <t>Humboldt0.6</t>
  </si>
  <si>
    <t>Humboldt0.65</t>
  </si>
  <si>
    <t>Humboldt0.7</t>
  </si>
  <si>
    <t>Humboldt0.75</t>
  </si>
  <si>
    <t>Humboldt0.8</t>
  </si>
  <si>
    <t>Humboldt0.9</t>
  </si>
  <si>
    <t>Humboldt1</t>
  </si>
  <si>
    <t>Humboldt1.1</t>
  </si>
  <si>
    <t>Humboldt1.2</t>
  </si>
  <si>
    <t>Imperial0.15</t>
  </si>
  <si>
    <t>Imperial0.2</t>
  </si>
  <si>
    <t>Imperial0.25</t>
  </si>
  <si>
    <t>Imperial0.3</t>
  </si>
  <si>
    <t>Imperial0.35</t>
  </si>
  <si>
    <t>Imperial0.4</t>
  </si>
  <si>
    <t>Imperial0.45</t>
  </si>
  <si>
    <t>Imperial0.5</t>
  </si>
  <si>
    <t>Imperial0.55</t>
  </si>
  <si>
    <t>Imperial0.6</t>
  </si>
  <si>
    <t>Imperial0.65</t>
  </si>
  <si>
    <t>Imperial0.7</t>
  </si>
  <si>
    <t>Imperial0.75</t>
  </si>
  <si>
    <t>Imperial0.8</t>
  </si>
  <si>
    <t>Imperial0.9</t>
  </si>
  <si>
    <t>Imperial1</t>
  </si>
  <si>
    <t>Imperial1.1</t>
  </si>
  <si>
    <t>Imperial1.2</t>
  </si>
  <si>
    <t>Inyo0.15</t>
  </si>
  <si>
    <t>Inyo0.2</t>
  </si>
  <si>
    <t>Inyo0.25</t>
  </si>
  <si>
    <t>Inyo0.3</t>
  </si>
  <si>
    <t>Inyo0.35</t>
  </si>
  <si>
    <t>Inyo0.4</t>
  </si>
  <si>
    <t>Inyo0.45</t>
  </si>
  <si>
    <t>Inyo0.5</t>
  </si>
  <si>
    <t>Inyo0.55</t>
  </si>
  <si>
    <t>Inyo0.6</t>
  </si>
  <si>
    <t>Inyo0.65</t>
  </si>
  <si>
    <t>Inyo0.7</t>
  </si>
  <si>
    <t>Inyo0.75</t>
  </si>
  <si>
    <t>Inyo0.8</t>
  </si>
  <si>
    <t>Inyo0.9</t>
  </si>
  <si>
    <t>Inyo1</t>
  </si>
  <si>
    <t>Inyo1.1</t>
  </si>
  <si>
    <t>Inyo1.2</t>
  </si>
  <si>
    <t>Kern0.15</t>
  </si>
  <si>
    <t>Kern0.2</t>
  </si>
  <si>
    <t>Kern0.25</t>
  </si>
  <si>
    <t>Kern0.3</t>
  </si>
  <si>
    <t>Kern0.35</t>
  </si>
  <si>
    <t>Kern0.4</t>
  </si>
  <si>
    <t>Kern0.45</t>
  </si>
  <si>
    <t>Kern0.5</t>
  </si>
  <si>
    <t>Kern0.55</t>
  </si>
  <si>
    <t>Kern0.6</t>
  </si>
  <si>
    <t>Kern0.65</t>
  </si>
  <si>
    <t>Kern0.7</t>
  </si>
  <si>
    <t>Kern0.75</t>
  </si>
  <si>
    <t>Kern0.8</t>
  </si>
  <si>
    <t>Kern0.9</t>
  </si>
  <si>
    <t>Kern1</t>
  </si>
  <si>
    <t>Kern1.1</t>
  </si>
  <si>
    <t>Kern1.2</t>
  </si>
  <si>
    <t>Kings0.15</t>
  </si>
  <si>
    <t>Kings0.2</t>
  </si>
  <si>
    <t>Kings0.25</t>
  </si>
  <si>
    <t>Kings0.3</t>
  </si>
  <si>
    <t>Kings0.35</t>
  </si>
  <si>
    <t>Kings0.4</t>
  </si>
  <si>
    <t>Kings0.45</t>
  </si>
  <si>
    <t>Kings0.5</t>
  </si>
  <si>
    <t>Kings0.55</t>
  </si>
  <si>
    <t>Kings0.6</t>
  </si>
  <si>
    <t>Kings0.65</t>
  </si>
  <si>
    <t>Kings0.7</t>
  </si>
  <si>
    <t>Kings0.75</t>
  </si>
  <si>
    <t>Kings0.8</t>
  </si>
  <si>
    <t>Kings0.9</t>
  </si>
  <si>
    <t>Kings1</t>
  </si>
  <si>
    <t>Kings1.1</t>
  </si>
  <si>
    <t>Kings1.2</t>
  </si>
  <si>
    <t>Lake0.15</t>
  </si>
  <si>
    <t>Lake0.2</t>
  </si>
  <si>
    <t>Lake0.25</t>
  </si>
  <si>
    <t>Lake0.3</t>
  </si>
  <si>
    <t>Lake0.35</t>
  </si>
  <si>
    <t>Lake0.4</t>
  </si>
  <si>
    <t>Lake0.45</t>
  </si>
  <si>
    <t>Lake0.5</t>
  </si>
  <si>
    <t>Lake0.55</t>
  </si>
  <si>
    <t>Lake0.6</t>
  </si>
  <si>
    <t>Lake0.65</t>
  </si>
  <si>
    <t>Lake0.7</t>
  </si>
  <si>
    <t>Lake0.75</t>
  </si>
  <si>
    <t>Lake0.8</t>
  </si>
  <si>
    <t>Lake0.9</t>
  </si>
  <si>
    <t>Lake1</t>
  </si>
  <si>
    <t>Lake1.1</t>
  </si>
  <si>
    <t>Lake1.2</t>
  </si>
  <si>
    <t>Lassen0.15</t>
  </si>
  <si>
    <t>Lassen0.2</t>
  </si>
  <si>
    <t>Lassen0.25</t>
  </si>
  <si>
    <t>Lassen0.3</t>
  </si>
  <si>
    <t>Lassen0.35</t>
  </si>
  <si>
    <t>Lassen0.4</t>
  </si>
  <si>
    <t>Lassen0.45</t>
  </si>
  <si>
    <t>Lassen0.5</t>
  </si>
  <si>
    <t>Lassen0.55</t>
  </si>
  <si>
    <t>Lassen0.6</t>
  </si>
  <si>
    <t>Lassen0.65</t>
  </si>
  <si>
    <t>Lassen0.7</t>
  </si>
  <si>
    <t>Lassen0.75</t>
  </si>
  <si>
    <t>Lassen0.8</t>
  </si>
  <si>
    <t>Lassen0.9</t>
  </si>
  <si>
    <t>Lassen1</t>
  </si>
  <si>
    <t>Lassen1.1</t>
  </si>
  <si>
    <t>Lassen1.2</t>
  </si>
  <si>
    <t>Los Angeles0.15</t>
  </si>
  <si>
    <t>Los Angeles0.2</t>
  </si>
  <si>
    <t>Los Angeles0.25</t>
  </si>
  <si>
    <t>Los Angeles0.3</t>
  </si>
  <si>
    <t>Los Angeles0.35</t>
  </si>
  <si>
    <t>Los Angeles0.4</t>
  </si>
  <si>
    <t>Los Angeles0.45</t>
  </si>
  <si>
    <t>Los Angeles0.5</t>
  </si>
  <si>
    <t>Los Angeles0.55</t>
  </si>
  <si>
    <t>Los Angeles0.6</t>
  </si>
  <si>
    <t>Los Angeles0.65</t>
  </si>
  <si>
    <t>Los Angeles0.7</t>
  </si>
  <si>
    <t>Los Angeles0.75</t>
  </si>
  <si>
    <t>Los Angeles0.8</t>
  </si>
  <si>
    <t>Los Angeles0.9</t>
  </si>
  <si>
    <t>Los Angeles1</t>
  </si>
  <si>
    <t>Los Angeles1.1</t>
  </si>
  <si>
    <t>Los Angeles1.2</t>
  </si>
  <si>
    <t>Madera0.15</t>
  </si>
  <si>
    <t>Madera0.2</t>
  </si>
  <si>
    <t>Madera0.25</t>
  </si>
  <si>
    <t>Madera0.3</t>
  </si>
  <si>
    <t>Madera0.35</t>
  </si>
  <si>
    <t>Madera0.4</t>
  </si>
  <si>
    <t>Madera0.45</t>
  </si>
  <si>
    <t>Madera0.5</t>
  </si>
  <si>
    <t>Madera0.55</t>
  </si>
  <si>
    <t>Madera0.6</t>
  </si>
  <si>
    <t>Madera0.65</t>
  </si>
  <si>
    <t>Madera0.7</t>
  </si>
  <si>
    <t>Madera0.75</t>
  </si>
  <si>
    <t>Madera0.8</t>
  </si>
  <si>
    <t>Madera0.9</t>
  </si>
  <si>
    <t>Madera1</t>
  </si>
  <si>
    <t>Madera1.1</t>
  </si>
  <si>
    <t>Madera1.2</t>
  </si>
  <si>
    <t>Marin0.15</t>
  </si>
  <si>
    <t>Marin0.2</t>
  </si>
  <si>
    <t>Marin0.25</t>
  </si>
  <si>
    <t>Marin0.3</t>
  </si>
  <si>
    <t>Marin0.35</t>
  </si>
  <si>
    <t>Marin0.4</t>
  </si>
  <si>
    <t>Marin0.45</t>
  </si>
  <si>
    <t>Marin0.5</t>
  </si>
  <si>
    <t>Marin0.55</t>
  </si>
  <si>
    <t>Marin0.6</t>
  </si>
  <si>
    <t>Marin0.65</t>
  </si>
  <si>
    <t>Marin0.7</t>
  </si>
  <si>
    <t>Marin0.75</t>
  </si>
  <si>
    <t>Marin0.8</t>
  </si>
  <si>
    <t>Marin0.9</t>
  </si>
  <si>
    <t>Marin1</t>
  </si>
  <si>
    <t>Marin1.1</t>
  </si>
  <si>
    <t>Marin1.2</t>
  </si>
  <si>
    <t>Mariposa0.15</t>
  </si>
  <si>
    <t>Mariposa0.2</t>
  </si>
  <si>
    <t>Mariposa0.25</t>
  </si>
  <si>
    <t>Mariposa0.3</t>
  </si>
  <si>
    <t>Mariposa0.35</t>
  </si>
  <si>
    <t>Mariposa0.4</t>
  </si>
  <si>
    <t>Mariposa0.45</t>
  </si>
  <si>
    <t>Mariposa0.5</t>
  </si>
  <si>
    <t>Mariposa0.55</t>
  </si>
  <si>
    <t>Mariposa0.6</t>
  </si>
  <si>
    <t>Mariposa0.65</t>
  </si>
  <si>
    <t>Mariposa0.7</t>
  </si>
  <si>
    <t>Mariposa0.75</t>
  </si>
  <si>
    <t>Mariposa0.8</t>
  </si>
  <si>
    <t>Mariposa0.9</t>
  </si>
  <si>
    <t>Mariposa1</t>
  </si>
  <si>
    <t>Mariposa1.1</t>
  </si>
  <si>
    <t>Mariposa1.2</t>
  </si>
  <si>
    <t>Mendocino0.15</t>
  </si>
  <si>
    <t>Mendocino0.2</t>
  </si>
  <si>
    <t>Mendocino0.25</t>
  </si>
  <si>
    <t>Mendocino0.3</t>
  </si>
  <si>
    <t>Mendocino0.35</t>
  </si>
  <si>
    <t>Mendocino0.4</t>
  </si>
  <si>
    <t>Mendocino0.45</t>
  </si>
  <si>
    <t>Mendocino0.5</t>
  </si>
  <si>
    <t>Mendocino0.55</t>
  </si>
  <si>
    <t>Mendocino0.6</t>
  </si>
  <si>
    <t>Mendocino0.65</t>
  </si>
  <si>
    <t>Mendocino0.7</t>
  </si>
  <si>
    <t>Mendocino0.75</t>
  </si>
  <si>
    <t>Mendocino0.8</t>
  </si>
  <si>
    <t>Mendocino0.9</t>
  </si>
  <si>
    <t>Mendocino1</t>
  </si>
  <si>
    <t>Mendocino1.1</t>
  </si>
  <si>
    <t>Mendocino1.2</t>
  </si>
  <si>
    <t>Merced0.15</t>
  </si>
  <si>
    <t>Merced0.2</t>
  </si>
  <si>
    <t>Merced0.25</t>
  </si>
  <si>
    <t>Merced0.3</t>
  </si>
  <si>
    <t>Merced0.35</t>
  </si>
  <si>
    <t>Merced0.4</t>
  </si>
  <si>
    <t>Merced0.45</t>
  </si>
  <si>
    <t>Merced0.5</t>
  </si>
  <si>
    <t>Merced0.55</t>
  </si>
  <si>
    <t>Merced0.6</t>
  </si>
  <si>
    <t>Merced0.65</t>
  </si>
  <si>
    <t>Merced0.7</t>
  </si>
  <si>
    <t>Merced0.75</t>
  </si>
  <si>
    <t>Merced0.8</t>
  </si>
  <si>
    <t>Merced0.9</t>
  </si>
  <si>
    <t>Merced1</t>
  </si>
  <si>
    <t>Merced1.1</t>
  </si>
  <si>
    <t>Merced1.2</t>
  </si>
  <si>
    <t>Modoc0.15</t>
  </si>
  <si>
    <t>Modoc0.2</t>
  </si>
  <si>
    <t>Modoc0.25</t>
  </si>
  <si>
    <t>Modoc0.3</t>
  </si>
  <si>
    <t>Modoc0.35</t>
  </si>
  <si>
    <t>Modoc0.4</t>
  </si>
  <si>
    <t>Modoc0.45</t>
  </si>
  <si>
    <t>Modoc0.5</t>
  </si>
  <si>
    <t>Modoc0.55</t>
  </si>
  <si>
    <t>Modoc0.6</t>
  </si>
  <si>
    <t>Modoc0.65</t>
  </si>
  <si>
    <t>Modoc0.7</t>
  </si>
  <si>
    <t>Modoc0.75</t>
  </si>
  <si>
    <t>Modoc0.8</t>
  </si>
  <si>
    <t>Modoc0.9</t>
  </si>
  <si>
    <t>Modoc1</t>
  </si>
  <si>
    <t>Modoc1.1</t>
  </si>
  <si>
    <t>Modoc1.2</t>
  </si>
  <si>
    <t>Mono0.15</t>
  </si>
  <si>
    <t>Mono0.2</t>
  </si>
  <si>
    <t>Mono0.25</t>
  </si>
  <si>
    <t>Mono0.3</t>
  </si>
  <si>
    <t>Mono0.35</t>
  </si>
  <si>
    <t>Mono0.4</t>
  </si>
  <si>
    <t>Mono0.45</t>
  </si>
  <si>
    <t>Mono0.5</t>
  </si>
  <si>
    <t>Mono0.55</t>
  </si>
  <si>
    <t>Mono0.6</t>
  </si>
  <si>
    <t>Mono0.65</t>
  </si>
  <si>
    <t>Mono0.7</t>
  </si>
  <si>
    <t>Mono0.75</t>
  </si>
  <si>
    <t>Mono0.8</t>
  </si>
  <si>
    <t>Mono0.9</t>
  </si>
  <si>
    <t>Mono1</t>
  </si>
  <si>
    <t>Mono1.1</t>
  </si>
  <si>
    <t>Mono1.2</t>
  </si>
  <si>
    <t>Monterey0.15</t>
  </si>
  <si>
    <t>Monterey0.2</t>
  </si>
  <si>
    <t>Monterey0.25</t>
  </si>
  <si>
    <t>Monterey0.3</t>
  </si>
  <si>
    <t>Monterey0.35</t>
  </si>
  <si>
    <t>Monterey0.4</t>
  </si>
  <si>
    <t>Monterey0.45</t>
  </si>
  <si>
    <t>Monterey0.5</t>
  </si>
  <si>
    <t>Monterey0.55</t>
  </si>
  <si>
    <t>Monterey0.6</t>
  </si>
  <si>
    <t>Monterey0.65</t>
  </si>
  <si>
    <t>Monterey0.7</t>
  </si>
  <si>
    <t>Monterey0.75</t>
  </si>
  <si>
    <t>Monterey0.8</t>
  </si>
  <si>
    <t>Monterey0.9</t>
  </si>
  <si>
    <t>Monterey1</t>
  </si>
  <si>
    <t>Monterey1.1</t>
  </si>
  <si>
    <t>Monterey1.2</t>
  </si>
  <si>
    <t>Napa0.15</t>
  </si>
  <si>
    <t>Napa0.2</t>
  </si>
  <si>
    <t>Napa0.25</t>
  </si>
  <si>
    <t>Napa0.3</t>
  </si>
  <si>
    <t>Napa0.35</t>
  </si>
  <si>
    <t>Napa0.4</t>
  </si>
  <si>
    <t>Napa0.45</t>
  </si>
  <si>
    <t>Napa0.5</t>
  </si>
  <si>
    <t>Napa0.55</t>
  </si>
  <si>
    <t>Napa0.6</t>
  </si>
  <si>
    <t>Napa0.65</t>
  </si>
  <si>
    <t>Napa0.7</t>
  </si>
  <si>
    <t>Napa0.75</t>
  </si>
  <si>
    <t>Napa0.8</t>
  </si>
  <si>
    <t>Napa0.9</t>
  </si>
  <si>
    <t>Napa1</t>
  </si>
  <si>
    <t>Napa1.1</t>
  </si>
  <si>
    <t>Napa1.2</t>
  </si>
  <si>
    <t>Nevada0.15</t>
  </si>
  <si>
    <t>Nevada0.2</t>
  </si>
  <si>
    <t>Nevada0.25</t>
  </si>
  <si>
    <t>Nevada0.3</t>
  </si>
  <si>
    <t>Nevada0.35</t>
  </si>
  <si>
    <t>Nevada0.4</t>
  </si>
  <si>
    <t>Nevada0.45</t>
  </si>
  <si>
    <t>Nevada0.5</t>
  </si>
  <si>
    <t>Nevada0.55</t>
  </si>
  <si>
    <t>Nevada0.6</t>
  </si>
  <si>
    <t>Nevada0.65</t>
  </si>
  <si>
    <t>Nevada0.7</t>
  </si>
  <si>
    <t>Nevada0.75</t>
  </si>
  <si>
    <t>Nevada0.8</t>
  </si>
  <si>
    <t>Nevada0.9</t>
  </si>
  <si>
    <t>Nevada1</t>
  </si>
  <si>
    <t>Nevada1.1</t>
  </si>
  <si>
    <t>Nevada1.2</t>
  </si>
  <si>
    <t>Orange0.15</t>
  </si>
  <si>
    <t>Orange0.2</t>
  </si>
  <si>
    <t>Orange0.25</t>
  </si>
  <si>
    <t>Orange0.3</t>
  </si>
  <si>
    <t>Orange0.35</t>
  </si>
  <si>
    <t>Orange0.4</t>
  </si>
  <si>
    <t>Orange0.45</t>
  </si>
  <si>
    <t>Orange0.5</t>
  </si>
  <si>
    <t>Orange0.55</t>
  </si>
  <si>
    <t>Orange0.6</t>
  </si>
  <si>
    <t>Orange0.65</t>
  </si>
  <si>
    <t>Orange0.7</t>
  </si>
  <si>
    <t>Orange0.75</t>
  </si>
  <si>
    <t>Orange0.8</t>
  </si>
  <si>
    <t>Orange0.9</t>
  </si>
  <si>
    <t>Orange1</t>
  </si>
  <si>
    <t>Orange1.1</t>
  </si>
  <si>
    <t>Orange1.2</t>
  </si>
  <si>
    <t>Placer0.15</t>
  </si>
  <si>
    <t>Placer0.2</t>
  </si>
  <si>
    <t>Placer0.25</t>
  </si>
  <si>
    <t>Placer0.3</t>
  </si>
  <si>
    <t>Placer0.35</t>
  </si>
  <si>
    <t>Placer0.4</t>
  </si>
  <si>
    <t>Placer0.45</t>
  </si>
  <si>
    <t>Placer0.5</t>
  </si>
  <si>
    <t>Placer0.55</t>
  </si>
  <si>
    <t>Placer0.6</t>
  </si>
  <si>
    <t>Placer0.65</t>
  </si>
  <si>
    <t>Placer0.7</t>
  </si>
  <si>
    <t>Placer0.75</t>
  </si>
  <si>
    <t>Placer0.8</t>
  </si>
  <si>
    <t>Placer0.9</t>
  </si>
  <si>
    <t>Placer1</t>
  </si>
  <si>
    <t>Placer1.1</t>
  </si>
  <si>
    <t>Placer1.2</t>
  </si>
  <si>
    <t>Plumas0.15</t>
  </si>
  <si>
    <t>Plumas0.2</t>
  </si>
  <si>
    <t>Plumas0.25</t>
  </si>
  <si>
    <t>Plumas0.3</t>
  </si>
  <si>
    <t>Plumas0.35</t>
  </si>
  <si>
    <t>Plumas0.4</t>
  </si>
  <si>
    <t>Plumas0.45</t>
  </si>
  <si>
    <t>Plumas0.5</t>
  </si>
  <si>
    <t>Plumas0.55</t>
  </si>
  <si>
    <t>Plumas0.6</t>
  </si>
  <si>
    <t>Plumas0.65</t>
  </si>
  <si>
    <t>Plumas0.7</t>
  </si>
  <si>
    <t>Plumas0.75</t>
  </si>
  <si>
    <t>Plumas0.8</t>
  </si>
  <si>
    <t>Plumas0.9</t>
  </si>
  <si>
    <t>Plumas1</t>
  </si>
  <si>
    <t>Plumas1.1</t>
  </si>
  <si>
    <t>Plumas1.2</t>
  </si>
  <si>
    <t>Riverside0.15</t>
  </si>
  <si>
    <t>Riverside0.2</t>
  </si>
  <si>
    <t>Riverside0.25</t>
  </si>
  <si>
    <t>Riverside0.3</t>
  </si>
  <si>
    <t>Riverside0.35</t>
  </si>
  <si>
    <t>Riverside0.4</t>
  </si>
  <si>
    <t>Riverside0.45</t>
  </si>
  <si>
    <t>Riverside0.5</t>
  </si>
  <si>
    <t>Riverside0.55</t>
  </si>
  <si>
    <t>Riverside0.6</t>
  </si>
  <si>
    <t>Riverside0.65</t>
  </si>
  <si>
    <t>Riverside0.7</t>
  </si>
  <si>
    <t>Riverside0.75</t>
  </si>
  <si>
    <t>Riverside0.8</t>
  </si>
  <si>
    <t>Riverside0.9</t>
  </si>
  <si>
    <t>Riverside1</t>
  </si>
  <si>
    <t>Riverside1.1</t>
  </si>
  <si>
    <t>Riverside1.2</t>
  </si>
  <si>
    <t>Sacramento0.15</t>
  </si>
  <si>
    <t>Sacramento0.2</t>
  </si>
  <si>
    <t>Sacramento0.25</t>
  </si>
  <si>
    <t>Sacramento0.3</t>
  </si>
  <si>
    <t>Sacramento0.35</t>
  </si>
  <si>
    <t>Sacramento0.4</t>
  </si>
  <si>
    <t>Sacramento0.45</t>
  </si>
  <si>
    <t>Sacramento0.5</t>
  </si>
  <si>
    <t>Sacramento0.55</t>
  </si>
  <si>
    <t>Sacramento0.6</t>
  </si>
  <si>
    <t>Sacramento0.65</t>
  </si>
  <si>
    <t>Sacramento0.7</t>
  </si>
  <si>
    <t>Sacramento0.75</t>
  </si>
  <si>
    <t>Sacramento0.8</t>
  </si>
  <si>
    <t>Sacramento0.9</t>
  </si>
  <si>
    <t>Sacramento1</t>
  </si>
  <si>
    <t>Sacramento1.1</t>
  </si>
  <si>
    <t>Sacramento1.2</t>
  </si>
  <si>
    <t>San Benito0.15</t>
  </si>
  <si>
    <t>San Benito0.2</t>
  </si>
  <si>
    <t>San Benito0.25</t>
  </si>
  <si>
    <t>San Benito0.3</t>
  </si>
  <si>
    <t>San Benito0.35</t>
  </si>
  <si>
    <t>San Benito0.4</t>
  </si>
  <si>
    <t>San Benito0.45</t>
  </si>
  <si>
    <t>San Benito0.5</t>
  </si>
  <si>
    <t>San Benito0.55</t>
  </si>
  <si>
    <t>San Benito0.6</t>
  </si>
  <si>
    <t>San Benito0.65</t>
  </si>
  <si>
    <t>San Benito0.7</t>
  </si>
  <si>
    <t>San Benito0.75</t>
  </si>
  <si>
    <t>San Benito0.8</t>
  </si>
  <si>
    <t>San Benito0.9</t>
  </si>
  <si>
    <t>San Benito1</t>
  </si>
  <si>
    <t>San Benito1.1</t>
  </si>
  <si>
    <t>San Benito1.2</t>
  </si>
  <si>
    <t>San Bernardino0.15</t>
  </si>
  <si>
    <t>San Bernardino0.2</t>
  </si>
  <si>
    <t>San Bernardino0.25</t>
  </si>
  <si>
    <t>San Bernardino0.3</t>
  </si>
  <si>
    <t>San Bernardino0.35</t>
  </si>
  <si>
    <t>San Bernardino0.4</t>
  </si>
  <si>
    <t>San Bernardino0.45</t>
  </si>
  <si>
    <t>San Bernardino0.5</t>
  </si>
  <si>
    <t>San Bernardino0.55</t>
  </si>
  <si>
    <t>San Bernardino0.6</t>
  </si>
  <si>
    <t>San Bernardino0.65</t>
  </si>
  <si>
    <t>San Bernardino0.7</t>
  </si>
  <si>
    <t>San Bernardino0.75</t>
  </si>
  <si>
    <t>San Bernardino0.8</t>
  </si>
  <si>
    <t>San Bernardino0.9</t>
  </si>
  <si>
    <t>San Bernardino1</t>
  </si>
  <si>
    <t>San Bernardino1.1</t>
  </si>
  <si>
    <t>San Bernardino1.2</t>
  </si>
  <si>
    <t>San Diego0.15</t>
  </si>
  <si>
    <t>San Diego0.2</t>
  </si>
  <si>
    <t>San Diego0.25</t>
  </si>
  <si>
    <t>San Diego0.3</t>
  </si>
  <si>
    <t>San Diego0.35</t>
  </si>
  <si>
    <t>San Diego0.4</t>
  </si>
  <si>
    <t>San Diego0.45</t>
  </si>
  <si>
    <t>San Diego0.5</t>
  </si>
  <si>
    <t>San Diego0.55</t>
  </si>
  <si>
    <t>San Diego0.6</t>
  </si>
  <si>
    <t>San Diego0.65</t>
  </si>
  <si>
    <t>San Diego0.7</t>
  </si>
  <si>
    <t>San Diego0.75</t>
  </si>
  <si>
    <t>San Diego0.8</t>
  </si>
  <si>
    <t>San Diego0.9</t>
  </si>
  <si>
    <t>San Diego1</t>
  </si>
  <si>
    <t>San Diego1.1</t>
  </si>
  <si>
    <t>San Diego1.2</t>
  </si>
  <si>
    <t>San Francisco0.15</t>
  </si>
  <si>
    <t>San Francisco0.2</t>
  </si>
  <si>
    <t>San Francisco0.25</t>
  </si>
  <si>
    <t>San Francisco0.3</t>
  </si>
  <si>
    <t>San Francisco0.35</t>
  </si>
  <si>
    <t>San Francisco0.4</t>
  </si>
  <si>
    <t>San Francisco0.45</t>
  </si>
  <si>
    <t>San Francisco0.5</t>
  </si>
  <si>
    <t>San Francisco0.55</t>
  </si>
  <si>
    <t>San Francisco0.6</t>
  </si>
  <si>
    <t>San Francisco0.65</t>
  </si>
  <si>
    <t>San Francisco0.7</t>
  </si>
  <si>
    <t>San Francisco0.75</t>
  </si>
  <si>
    <t>San Francisco0.8</t>
  </si>
  <si>
    <t>San Francisco0.9</t>
  </si>
  <si>
    <t>San Francisco1</t>
  </si>
  <si>
    <t>San Francisco1.1</t>
  </si>
  <si>
    <t>San Francisco1.2</t>
  </si>
  <si>
    <t>San Joaquin0.15</t>
  </si>
  <si>
    <t>San Joaquin0.2</t>
  </si>
  <si>
    <t>San Joaquin0.25</t>
  </si>
  <si>
    <t>San Joaquin0.3</t>
  </si>
  <si>
    <t>San Joaquin0.35</t>
  </si>
  <si>
    <t>San Joaquin0.4</t>
  </si>
  <si>
    <t>San Joaquin0.45</t>
  </si>
  <si>
    <t>San Joaquin0.5</t>
  </si>
  <si>
    <t>San Joaquin0.55</t>
  </si>
  <si>
    <t>San Joaquin0.6</t>
  </si>
  <si>
    <t>San Joaquin0.65</t>
  </si>
  <si>
    <t>San Joaquin0.7</t>
  </si>
  <si>
    <t>San Joaquin0.75</t>
  </si>
  <si>
    <t>San Joaquin0.8</t>
  </si>
  <si>
    <t>San Joaquin0.9</t>
  </si>
  <si>
    <t>San Joaquin1</t>
  </si>
  <si>
    <t>San Joaquin1.1</t>
  </si>
  <si>
    <t>San Joaquin1.2</t>
  </si>
  <si>
    <t>San Luis Obispo0.15</t>
  </si>
  <si>
    <t>San Luis Obispo0.2</t>
  </si>
  <si>
    <t>San Luis Obispo0.25</t>
  </si>
  <si>
    <t>San Luis Obispo0.3</t>
  </si>
  <si>
    <t>San Luis Obispo0.35</t>
  </si>
  <si>
    <t>San Luis Obispo0.4</t>
  </si>
  <si>
    <t>San Luis Obispo0.45</t>
  </si>
  <si>
    <t>San Luis Obispo0.5</t>
  </si>
  <si>
    <t>San Luis Obispo0.55</t>
  </si>
  <si>
    <t>San Luis Obispo0.6</t>
  </si>
  <si>
    <t>San Luis Obispo0.65</t>
  </si>
  <si>
    <t>San Luis Obispo0.7</t>
  </si>
  <si>
    <t>San Luis Obispo0.75</t>
  </si>
  <si>
    <t>San Luis Obispo0.8</t>
  </si>
  <si>
    <t>San Luis Obispo0.9</t>
  </si>
  <si>
    <t>San Luis Obispo1</t>
  </si>
  <si>
    <t>San Luis Obispo1.1</t>
  </si>
  <si>
    <t>San Luis Obispo1.2</t>
  </si>
  <si>
    <t>San Mateo0.15</t>
  </si>
  <si>
    <t>San Mateo0.2</t>
  </si>
  <si>
    <t>San Mateo0.25</t>
  </si>
  <si>
    <t>San Mateo0.3</t>
  </si>
  <si>
    <t>San Mateo0.35</t>
  </si>
  <si>
    <t>San Mateo0.4</t>
  </si>
  <si>
    <t>San Mateo0.45</t>
  </si>
  <si>
    <t>San Mateo0.5</t>
  </si>
  <si>
    <t>San Mateo0.55</t>
  </si>
  <si>
    <t>San Mateo0.6</t>
  </si>
  <si>
    <t>San Mateo0.65</t>
  </si>
  <si>
    <t>San Mateo0.7</t>
  </si>
  <si>
    <t>San Mateo0.75</t>
  </si>
  <si>
    <t>San Mateo0.8</t>
  </si>
  <si>
    <t>San Mateo0.9</t>
  </si>
  <si>
    <t>San Mateo1</t>
  </si>
  <si>
    <t>San Mateo1.1</t>
  </si>
  <si>
    <t>San Mateo1.2</t>
  </si>
  <si>
    <t>Santa Barbara0.15</t>
  </si>
  <si>
    <t>Santa Barbara0.2</t>
  </si>
  <si>
    <t>Santa Barbara0.25</t>
  </si>
  <si>
    <t>Santa Barbara0.3</t>
  </si>
  <si>
    <t>Santa Barbara0.35</t>
  </si>
  <si>
    <t>Santa Barbara0.4</t>
  </si>
  <si>
    <t>Santa Barbara0.45</t>
  </si>
  <si>
    <t>Santa Barbara0.5</t>
  </si>
  <si>
    <t>Santa Barbara0.55</t>
  </si>
  <si>
    <t>Santa Barbara0.6</t>
  </si>
  <si>
    <t>Santa Barbara0.65</t>
  </si>
  <si>
    <t>Santa Barbara0.7</t>
  </si>
  <si>
    <t>Santa Barbara0.75</t>
  </si>
  <si>
    <t>Santa Barbara0.8</t>
  </si>
  <si>
    <t>Santa Barbara0.9</t>
  </si>
  <si>
    <t>Santa Barbara1</t>
  </si>
  <si>
    <t>Santa Barbara1.1</t>
  </si>
  <si>
    <t>Santa Barbara1.2</t>
  </si>
  <si>
    <t>Santa Clara0.15</t>
  </si>
  <si>
    <t>Santa Clara0.2</t>
  </si>
  <si>
    <t>Santa Clara0.25</t>
  </si>
  <si>
    <t>Santa Clara0.3</t>
  </si>
  <si>
    <t>Santa Clara0.35</t>
  </si>
  <si>
    <t>Santa Clara0.4</t>
  </si>
  <si>
    <t>Santa Clara0.45</t>
  </si>
  <si>
    <t>Santa Clara0.5</t>
  </si>
  <si>
    <t>Santa Clara0.55</t>
  </si>
  <si>
    <t>Santa Clara0.6</t>
  </si>
  <si>
    <t>Santa Clara0.65</t>
  </si>
  <si>
    <t>Santa Clara0.7</t>
  </si>
  <si>
    <t>Santa Clara0.75</t>
  </si>
  <si>
    <t>Santa Clara0.8</t>
  </si>
  <si>
    <t>Santa Clara0.9</t>
  </si>
  <si>
    <t>Santa Clara1</t>
  </si>
  <si>
    <t>Santa Clara1.1</t>
  </si>
  <si>
    <t>Santa Clara1.2</t>
  </si>
  <si>
    <t>Santa Cruz0.15</t>
  </si>
  <si>
    <t>Santa Cruz0.2</t>
  </si>
  <si>
    <t>Santa Cruz0.25</t>
  </si>
  <si>
    <t>Santa Cruz0.3</t>
  </si>
  <si>
    <t>Santa Cruz0.35</t>
  </si>
  <si>
    <t>Santa Cruz0.4</t>
  </si>
  <si>
    <t>Santa Cruz0.45</t>
  </si>
  <si>
    <t>Santa Cruz0.5</t>
  </si>
  <si>
    <t>Santa Cruz0.55</t>
  </si>
  <si>
    <t>Santa Cruz0.6</t>
  </si>
  <si>
    <t>Santa Cruz0.65</t>
  </si>
  <si>
    <t>Santa Cruz0.7</t>
  </si>
  <si>
    <t>Santa Cruz0.75</t>
  </si>
  <si>
    <t>Santa Cruz0.8</t>
  </si>
  <si>
    <t>Santa Cruz0.9</t>
  </si>
  <si>
    <t>Santa Cruz1</t>
  </si>
  <si>
    <t>Santa Cruz1.1</t>
  </si>
  <si>
    <t>Santa Cruz1.2</t>
  </si>
  <si>
    <t>Shasta0.15</t>
  </si>
  <si>
    <t>Shasta0.2</t>
  </si>
  <si>
    <t>Shasta0.25</t>
  </si>
  <si>
    <t>Shasta0.3</t>
  </si>
  <si>
    <t>Shasta0.35</t>
  </si>
  <si>
    <t>Shasta0.4</t>
  </si>
  <si>
    <t>Shasta0.45</t>
  </si>
  <si>
    <t>Shasta0.5</t>
  </si>
  <si>
    <t>Shasta0.55</t>
  </si>
  <si>
    <t>Shasta0.6</t>
  </si>
  <si>
    <t>Shasta0.65</t>
  </si>
  <si>
    <t>Shasta0.7</t>
  </si>
  <si>
    <t>Shasta0.75</t>
  </si>
  <si>
    <t>Shasta0.8</t>
  </si>
  <si>
    <t>Shasta0.9</t>
  </si>
  <si>
    <t>Shasta1</t>
  </si>
  <si>
    <t>Shasta1.1</t>
  </si>
  <si>
    <t>Shasta1.2</t>
  </si>
  <si>
    <t>Sierra0.15</t>
  </si>
  <si>
    <t>Sierra0.2</t>
  </si>
  <si>
    <t>Sierra0.25</t>
  </si>
  <si>
    <t>Sierra0.3</t>
  </si>
  <si>
    <t>Sierra0.35</t>
  </si>
  <si>
    <t>Sierra0.4</t>
  </si>
  <si>
    <t>Sierra0.45</t>
  </si>
  <si>
    <t>Sierra0.5</t>
  </si>
  <si>
    <t>Sierra0.55</t>
  </si>
  <si>
    <t>Sierra0.6</t>
  </si>
  <si>
    <t>Sierra0.65</t>
  </si>
  <si>
    <t>Sierra0.7</t>
  </si>
  <si>
    <t>Sierra0.75</t>
  </si>
  <si>
    <t>Sierra0.8</t>
  </si>
  <si>
    <t>Sierra0.9</t>
  </si>
  <si>
    <t>Sierra1</t>
  </si>
  <si>
    <t>Sierra1.1</t>
  </si>
  <si>
    <t>Sierra1.2</t>
  </si>
  <si>
    <t>Siskiyou0.15</t>
  </si>
  <si>
    <t>Siskiyou0.2</t>
  </si>
  <si>
    <t>Siskiyou0.25</t>
  </si>
  <si>
    <t>Siskiyou0.3</t>
  </si>
  <si>
    <t>Siskiyou0.35</t>
  </si>
  <si>
    <t>Siskiyou0.4</t>
  </si>
  <si>
    <t>Siskiyou0.45</t>
  </si>
  <si>
    <t>Siskiyou0.5</t>
  </si>
  <si>
    <t>Siskiyou0.55</t>
  </si>
  <si>
    <t>Siskiyou0.6</t>
  </si>
  <si>
    <t>Siskiyou0.65</t>
  </si>
  <si>
    <t>Siskiyou0.7</t>
  </si>
  <si>
    <t>Siskiyou0.75</t>
  </si>
  <si>
    <t>Siskiyou0.8</t>
  </si>
  <si>
    <t>Siskiyou0.9</t>
  </si>
  <si>
    <t>Siskiyou1</t>
  </si>
  <si>
    <t>Siskiyou1.1</t>
  </si>
  <si>
    <t>Siskiyou1.2</t>
  </si>
  <si>
    <t>Solano0.15</t>
  </si>
  <si>
    <t>Solano0.2</t>
  </si>
  <si>
    <t>Solano0.25</t>
  </si>
  <si>
    <t>Solano0.3</t>
  </si>
  <si>
    <t>Solano0.35</t>
  </si>
  <si>
    <t>Solano0.4</t>
  </si>
  <si>
    <t>Solano0.45</t>
  </si>
  <si>
    <t>Solano0.5</t>
  </si>
  <si>
    <t>Solano0.55</t>
  </si>
  <si>
    <t>Solano0.6</t>
  </si>
  <si>
    <t>Solano0.65</t>
  </si>
  <si>
    <t>Solano0.7</t>
  </si>
  <si>
    <t>Solano0.75</t>
  </si>
  <si>
    <t>Solano0.8</t>
  </si>
  <si>
    <t>Solano0.9</t>
  </si>
  <si>
    <t>Solano1</t>
  </si>
  <si>
    <t>Solano1.1</t>
  </si>
  <si>
    <t>Solano1.2</t>
  </si>
  <si>
    <t>Sonoma0.15</t>
  </si>
  <si>
    <t>Sonoma0.2</t>
  </si>
  <si>
    <t>Sonoma0.25</t>
  </si>
  <si>
    <t>Sonoma0.3</t>
  </si>
  <si>
    <t>Sonoma0.35</t>
  </si>
  <si>
    <t>Sonoma0.4</t>
  </si>
  <si>
    <t>Sonoma0.45</t>
  </si>
  <si>
    <t>Sonoma0.5</t>
  </si>
  <si>
    <t>Sonoma0.55</t>
  </si>
  <si>
    <t>Sonoma0.6</t>
  </si>
  <si>
    <t>Sonoma0.65</t>
  </si>
  <si>
    <t>Sonoma0.7</t>
  </si>
  <si>
    <t>Sonoma0.75</t>
  </si>
  <si>
    <t>Sonoma0.8</t>
  </si>
  <si>
    <t>Sonoma0.9</t>
  </si>
  <si>
    <t>Sonoma1</t>
  </si>
  <si>
    <t>Sonoma1.1</t>
  </si>
  <si>
    <t>Sonoma1.2</t>
  </si>
  <si>
    <t>Stanislaus0.15</t>
  </si>
  <si>
    <t>Stanislaus0.2</t>
  </si>
  <si>
    <t>Stanislaus0.25</t>
  </si>
  <si>
    <t>Stanislaus0.3</t>
  </si>
  <si>
    <t>Stanislaus0.35</t>
  </si>
  <si>
    <t>Stanislaus0.4</t>
  </si>
  <si>
    <t>Stanislaus0.45</t>
  </si>
  <si>
    <t>Stanislaus0.5</t>
  </si>
  <si>
    <t>Stanislaus0.55</t>
  </si>
  <si>
    <t>Stanislaus0.6</t>
  </si>
  <si>
    <t>Stanislaus0.65</t>
  </si>
  <si>
    <t>Stanislaus0.7</t>
  </si>
  <si>
    <t>Stanislaus0.75</t>
  </si>
  <si>
    <t>Stanislaus0.8</t>
  </si>
  <si>
    <t>Stanislaus0.9</t>
  </si>
  <si>
    <t>Stanislaus1</t>
  </si>
  <si>
    <t>Stanislaus1.1</t>
  </si>
  <si>
    <t>Stanislaus1.2</t>
  </si>
  <si>
    <t>Sutter0.15</t>
  </si>
  <si>
    <t>Sutter0.2</t>
  </si>
  <si>
    <t>Sutter0.25</t>
  </si>
  <si>
    <t>Sutter0.3</t>
  </si>
  <si>
    <t>Sutter0.35</t>
  </si>
  <si>
    <t>Sutter0.4</t>
  </si>
  <si>
    <t>Sutter0.45</t>
  </si>
  <si>
    <t>Sutter0.5</t>
  </si>
  <si>
    <t>Sutter0.55</t>
  </si>
  <si>
    <t>Sutter0.6</t>
  </si>
  <si>
    <t>Sutter0.65</t>
  </si>
  <si>
    <t>Sutter0.7</t>
  </si>
  <si>
    <t>Sutter0.75</t>
  </si>
  <si>
    <t>Sutter0.8</t>
  </si>
  <si>
    <t>Sutter0.9</t>
  </si>
  <si>
    <t>Sutter1</t>
  </si>
  <si>
    <t>Sutter1.1</t>
  </si>
  <si>
    <t>Sutter1.2</t>
  </si>
  <si>
    <t>Tehama0.15</t>
  </si>
  <si>
    <t>Tehama0.2</t>
  </si>
  <si>
    <t>Tehama0.25</t>
  </si>
  <si>
    <t>Tehama0.3</t>
  </si>
  <si>
    <t>Tehama0.35</t>
  </si>
  <si>
    <t>Tehama0.4</t>
  </si>
  <si>
    <t>Tehama0.45</t>
  </si>
  <si>
    <t>Tehama0.5</t>
  </si>
  <si>
    <t>Tehama0.55</t>
  </si>
  <si>
    <t>Tehama0.6</t>
  </si>
  <si>
    <t>Tehama0.65</t>
  </si>
  <si>
    <t>Tehama0.7</t>
  </si>
  <si>
    <t>Tehama0.75</t>
  </si>
  <si>
    <t>Tehama0.8</t>
  </si>
  <si>
    <t>Tehama0.9</t>
  </si>
  <si>
    <t>Tehama1</t>
  </si>
  <si>
    <t>Tehama1.1</t>
  </si>
  <si>
    <t>Tehama1.2</t>
  </si>
  <si>
    <t>Trinity0.15</t>
  </si>
  <si>
    <t>Trinity0.2</t>
  </si>
  <si>
    <t>Trinity0.25</t>
  </si>
  <si>
    <t>Trinity0.3</t>
  </si>
  <si>
    <t>Trinity0.35</t>
  </si>
  <si>
    <t>Trinity0.4</t>
  </si>
  <si>
    <t>Trinity0.45</t>
  </si>
  <si>
    <t>Trinity0.5</t>
  </si>
  <si>
    <t>Trinity0.55</t>
  </si>
  <si>
    <t>Trinity0.6</t>
  </si>
  <si>
    <t>Trinity0.65</t>
  </si>
  <si>
    <t>Trinity0.7</t>
  </si>
  <si>
    <t>Trinity0.75</t>
  </si>
  <si>
    <t>Trinity0.8</t>
  </si>
  <si>
    <t>Trinity0.9</t>
  </si>
  <si>
    <t>Trinity1</t>
  </si>
  <si>
    <t>Trinity1.1</t>
  </si>
  <si>
    <t>Trinity1.2</t>
  </si>
  <si>
    <t>Tulare0.15</t>
  </si>
  <si>
    <t>Tulare0.2</t>
  </si>
  <si>
    <t>Tulare0.25</t>
  </si>
  <si>
    <t>Tulare0.3</t>
  </si>
  <si>
    <t>Tulare0.35</t>
  </si>
  <si>
    <t>Tulare0.4</t>
  </si>
  <si>
    <t>Tulare0.45</t>
  </si>
  <si>
    <t>Tulare0.5</t>
  </si>
  <si>
    <t>Tulare0.55</t>
  </si>
  <si>
    <t>Tulare0.6</t>
  </si>
  <si>
    <t>Tulare0.65</t>
  </si>
  <si>
    <t>Tulare0.7</t>
  </si>
  <si>
    <t>Tulare0.75</t>
  </si>
  <si>
    <t>Tulare0.8</t>
  </si>
  <si>
    <t>Tulare0.9</t>
  </si>
  <si>
    <t>Tulare1</t>
  </si>
  <si>
    <t>Tulare1.1</t>
  </si>
  <si>
    <t>Tulare1.2</t>
  </si>
  <si>
    <t>Tuolumne0.15</t>
  </si>
  <si>
    <t>Tuolumne0.2</t>
  </si>
  <si>
    <t>Tuolumne0.25</t>
  </si>
  <si>
    <t>Tuolumne0.3</t>
  </si>
  <si>
    <t>Tuolumne0.35</t>
  </si>
  <si>
    <t>Tuolumne0.4</t>
  </si>
  <si>
    <t>Tuolumne0.45</t>
  </si>
  <si>
    <t>Tuolumne0.5</t>
  </si>
  <si>
    <t>Tuolumne0.55</t>
  </si>
  <si>
    <t>Tuolumne0.6</t>
  </si>
  <si>
    <t>Tuolumne0.65</t>
  </si>
  <si>
    <t>Tuolumne0.7</t>
  </si>
  <si>
    <t>Tuolumne0.75</t>
  </si>
  <si>
    <t>Tuolumne0.8</t>
  </si>
  <si>
    <t>Tuolumne0.9</t>
  </si>
  <si>
    <t>Tuolumne1</t>
  </si>
  <si>
    <t>Tuolumne1.1</t>
  </si>
  <si>
    <t>Tuolumne1.2</t>
  </si>
  <si>
    <t>Ventura0.15</t>
  </si>
  <si>
    <t>Ventura0.2</t>
  </si>
  <si>
    <t>Ventura0.25</t>
  </si>
  <si>
    <t>Ventura0.3</t>
  </si>
  <si>
    <t>Ventura0.35</t>
  </si>
  <si>
    <t>Ventura0.4</t>
  </si>
  <si>
    <t>Ventura0.45</t>
  </si>
  <si>
    <t>Ventura0.5</t>
  </si>
  <si>
    <t>Ventura0.55</t>
  </si>
  <si>
    <t>Ventura0.6</t>
  </si>
  <si>
    <t>Ventura0.65</t>
  </si>
  <si>
    <t>Ventura0.7</t>
  </si>
  <si>
    <t>Ventura0.75</t>
  </si>
  <si>
    <t>Ventura0.8</t>
  </si>
  <si>
    <t>Ventura0.9</t>
  </si>
  <si>
    <t>Ventura1</t>
  </si>
  <si>
    <t>Ventura1.1</t>
  </si>
  <si>
    <t>Ventura1.2</t>
  </si>
  <si>
    <t>Yolo0.15</t>
  </si>
  <si>
    <t>Yolo0.2</t>
  </si>
  <si>
    <t>Yolo0.25</t>
  </si>
  <si>
    <t>Yolo0.3</t>
  </si>
  <si>
    <t>Yolo0.35</t>
  </si>
  <si>
    <t>Yolo0.4</t>
  </si>
  <si>
    <t>Yolo0.45</t>
  </si>
  <si>
    <t>Yolo0.5</t>
  </si>
  <si>
    <t>Yolo0.55</t>
  </si>
  <si>
    <t>Yolo0.6</t>
  </si>
  <si>
    <t>Yolo0.65</t>
  </si>
  <si>
    <t>Yolo0.7</t>
  </si>
  <si>
    <t>Yolo0.75</t>
  </si>
  <si>
    <t>Yolo0.8</t>
  </si>
  <si>
    <t>Yolo0.9</t>
  </si>
  <si>
    <t>Yolo1</t>
  </si>
  <si>
    <t>Yolo1.1</t>
  </si>
  <si>
    <t>Yolo1.2</t>
  </si>
  <si>
    <t>Yuba0.15</t>
  </si>
  <si>
    <t>Yuba0.2</t>
  </si>
  <si>
    <t>Yuba0.25</t>
  </si>
  <si>
    <t>Yuba0.3</t>
  </si>
  <si>
    <t>Yuba0.35</t>
  </si>
  <si>
    <t>Yuba0.4</t>
  </si>
  <si>
    <t>Yuba0.45</t>
  </si>
  <si>
    <t>Yuba0.5</t>
  </si>
  <si>
    <t>Yuba0.55</t>
  </si>
  <si>
    <t>Yuba0.6</t>
  </si>
  <si>
    <t>Yuba0.65</t>
  </si>
  <si>
    <t>Yuba0.7</t>
  </si>
  <si>
    <t>Yuba0.75</t>
  </si>
  <si>
    <t>Yuba0.8</t>
  </si>
  <si>
    <t>Yuba0.9</t>
  </si>
  <si>
    <t>Yuba1</t>
  </si>
  <si>
    <t>Yuba1.1</t>
  </si>
  <si>
    <t>Yuba1.2</t>
  </si>
  <si>
    <t>Contacts</t>
  </si>
  <si>
    <t>Site &amp; Units</t>
  </si>
  <si>
    <t>Bay Area</t>
  </si>
  <si>
    <t>Rents</t>
  </si>
  <si>
    <t>Dev Sources</t>
  </si>
  <si>
    <t>Target Population</t>
  </si>
  <si>
    <t>FORM OF ENTITY</t>
  </si>
  <si>
    <t>Partner or Member Role</t>
  </si>
  <si>
    <t>Site Control</t>
  </si>
  <si>
    <t>Balance of State</t>
  </si>
  <si>
    <t>Income Limit</t>
  </si>
  <si>
    <t>Required Payment</t>
  </si>
  <si>
    <t>Repayment Terms Type</t>
  </si>
  <si>
    <t xml:space="preserve">Interest Rate Type </t>
  </si>
  <si>
    <t>At-Risk of Homelessness</t>
  </si>
  <si>
    <t>Yet to be formed L.P.</t>
  </si>
  <si>
    <t>Managing General Partner of Owner</t>
  </si>
  <si>
    <t>Fee Title</t>
  </si>
  <si>
    <t>None</t>
  </si>
  <si>
    <t>Interest Only</t>
  </si>
  <si>
    <t>Fully Amortized</t>
  </si>
  <si>
    <t>Fixed for Term</t>
  </si>
  <si>
    <t>Chronic Homeless</t>
  </si>
  <si>
    <t xml:space="preserve">County </t>
  </si>
  <si>
    <t>Yet to be formed LLC</t>
  </si>
  <si>
    <t>General Partner of Owner</t>
  </si>
  <si>
    <t>Purchase Option</t>
  </si>
  <si>
    <t>Deferred</t>
  </si>
  <si>
    <t>Amortized with Call</t>
  </si>
  <si>
    <t>Fixed with Reset</t>
  </si>
  <si>
    <t>Homeless</t>
  </si>
  <si>
    <t>Council of Governement</t>
  </si>
  <si>
    <t>Limited Partnership</t>
  </si>
  <si>
    <t>Administrative General Partner of Owner</t>
  </si>
  <si>
    <t>Lease</t>
  </si>
  <si>
    <t>Residual Receipts</t>
  </si>
  <si>
    <t>Fixed, then Variable</t>
  </si>
  <si>
    <t>Homeless Youth or Youth at Risk of Homelessness</t>
  </si>
  <si>
    <t>Metropolitan Planning Organization</t>
  </si>
  <si>
    <t>Limited Liability Company</t>
  </si>
  <si>
    <t>Managing Member</t>
  </si>
  <si>
    <t>Lease Option</t>
  </si>
  <si>
    <t>Other</t>
  </si>
  <si>
    <t>Variable</t>
  </si>
  <si>
    <t>Regional Transportation Planning Agency</t>
  </si>
  <si>
    <t>Non-profit Corporation</t>
  </si>
  <si>
    <t>DDA</t>
  </si>
  <si>
    <t>Public Housing Authority (PHA)</t>
  </si>
  <si>
    <t>Non-profit Public Benefit Corporation</t>
  </si>
  <si>
    <t>Eminent Domain</t>
  </si>
  <si>
    <t>Fixed to Float</t>
  </si>
  <si>
    <t>Other local public entity</t>
  </si>
  <si>
    <t xml:space="preserve">For-profit Corporation </t>
  </si>
  <si>
    <t>Other -specify in Applicant Notes</t>
  </si>
  <si>
    <t>Sacramento Area</t>
  </si>
  <si>
    <t>Partial Int. Only</t>
  </si>
  <si>
    <t>Tribal Entity</t>
  </si>
  <si>
    <t>Tribal Government</t>
  </si>
  <si>
    <t>San Joaquin Valley</t>
  </si>
  <si>
    <t>Nonprofit Corporation</t>
  </si>
  <si>
    <t>Public Agency</t>
  </si>
  <si>
    <t>For-profit Corporation</t>
  </si>
  <si>
    <t>Joint Powers Authority</t>
  </si>
  <si>
    <t>Individual(s)</t>
  </si>
  <si>
    <t>Southern California</t>
  </si>
  <si>
    <t>Los Angeles County</t>
  </si>
  <si>
    <t>Central Coast</t>
  </si>
  <si>
    <t>San Diego County</t>
  </si>
  <si>
    <t>Sources of Funds</t>
  </si>
  <si>
    <t>Funding Committed by Application Due Date?</t>
  </si>
  <si>
    <t>Source Name</t>
  </si>
  <si>
    <t>Source Type</t>
  </si>
  <si>
    <t>Lien
No.</t>
  </si>
  <si>
    <t xml:space="preserve">Interest Rate </t>
  </si>
  <si>
    <t>Repayment Terms</t>
  </si>
  <si>
    <t>Required Debt Service Amount</t>
  </si>
  <si>
    <t xml:space="preserve">Type </t>
  </si>
  <si>
    <t>Rate</t>
  </si>
  <si>
    <t>Due in (yrs)</t>
  </si>
  <si>
    <t>Yes</t>
  </si>
  <si>
    <r>
      <t xml:space="preserve">Homekey Program Award </t>
    </r>
    <r>
      <rPr>
        <sz val="9"/>
        <color rgb="FFC00000"/>
        <rFont val="Arial"/>
        <family val="2"/>
      </rPr>
      <t>from 'Overview' worksheet cell AI23</t>
    </r>
  </si>
  <si>
    <t>State-HCD</t>
  </si>
  <si>
    <t>EFC1, EFC2, EFCI3, etc.</t>
  </si>
  <si>
    <r>
      <t xml:space="preserve">Documentation for the executed funding commitments </t>
    </r>
    <r>
      <rPr>
        <b/>
        <sz val="11"/>
        <color rgb="FFC00000"/>
        <rFont val="Arial"/>
        <family val="2"/>
      </rPr>
      <t>(see below)</t>
    </r>
  </si>
  <si>
    <r>
      <t xml:space="preserve">"Article VII((xii) </t>
    </r>
    <r>
      <rPr>
        <sz val="11"/>
        <color rgb="FFC00000"/>
        <rFont val="Arial"/>
        <family val="2"/>
      </rPr>
      <t>"Enforceable Funding Commitment”</t>
    </r>
    <r>
      <rPr>
        <sz val="11"/>
        <rFont val="Arial"/>
        <family val="2"/>
      </rPr>
      <t xml:space="preserve"> means a letter or other document, in form and substance satisfactory to the Department, which evidences an enforceable commitment of funds or a reservation of funds by a Project funding source, and which contains the following: a. The name of the Applicant or Grantee; b. The Project name; c. The Project site address, assessor’s parcel number, or legal description; and d. The amount, interest rate (if any), and terms of the funding source. The Enforceable Funding Commitment may be conditioned on certain standard underwriting criteria, such as appraisals, but may not be generally conditional. Examples of unacceptable general conditions include phrases such as “subject to senior management approval,” or a statement that omits the word “commitment,” but instead indicates the lender’s “willingness to process an application” or indicates that financing is subject to loan committee approval of the Project. Contingencies in commitment documents based upon the receipt of tax-exempt bonds or low-income housing tax credits will not disqualify a source from being counted as committed.</t>
    </r>
  </si>
  <si>
    <t xml:space="preserve">Applicant comments: Include a description of balloon payments and unusual or extraordinary circumstances. </t>
  </si>
  <si>
    <t>Sources/Uses of Funds</t>
  </si>
  <si>
    <t>USES OF FUNDS</t>
  </si>
  <si>
    <t>Homekey Award</t>
  </si>
  <si>
    <t>Total Sources/Costs</t>
  </si>
  <si>
    <t>Project Development Costs</t>
  </si>
  <si>
    <t>LAND COST/ACQUISITION</t>
  </si>
  <si>
    <t>Land Cost or Value</t>
  </si>
  <si>
    <t>Demolition</t>
  </si>
  <si>
    <t>Legal</t>
  </si>
  <si>
    <t>Land Lease Rent Prepayment</t>
  </si>
  <si>
    <t>Total Land Cost or Value</t>
  </si>
  <si>
    <t>Existing Improvements Cost or Value</t>
  </si>
  <si>
    <t>Off-Site Improvements</t>
  </si>
  <si>
    <t>Total Acquisition Cost</t>
  </si>
  <si>
    <t>Total Land Cost / Acquisition Cost</t>
  </si>
  <si>
    <t>Predevelopment Interest/Holding Cost</t>
  </si>
  <si>
    <t>Assumed, Accrued Interest on Existing Debt (Rehab/Acq)</t>
  </si>
  <si>
    <t>Excess Purchase Price Over Appraisal</t>
  </si>
  <si>
    <t>REHABILITATION</t>
  </si>
  <si>
    <t>Site Work</t>
  </si>
  <si>
    <t>Structures</t>
  </si>
  <si>
    <t>General Requirements</t>
  </si>
  <si>
    <t>Contractor Overhead</t>
  </si>
  <si>
    <t>Contractor Profit</t>
  </si>
  <si>
    <t>Prevailing Wages</t>
  </si>
  <si>
    <t>General Liability Insurance</t>
  </si>
  <si>
    <t>Urban Greening</t>
  </si>
  <si>
    <t>Other Rehabilitation: (Specify)</t>
  </si>
  <si>
    <t>Total Rehabilitation Costs</t>
  </si>
  <si>
    <t>Total Relocation Expenses</t>
  </si>
  <si>
    <t>NEW CONSTRUCTION</t>
  </si>
  <si>
    <t>Other New Construction: (Specify)</t>
  </si>
  <si>
    <t>Total New Construction Costs</t>
  </si>
  <si>
    <t>ARCHITECTURAL FEES</t>
  </si>
  <si>
    <t>Design</t>
  </si>
  <si>
    <t>Supervision</t>
  </si>
  <si>
    <t>Total Architectural Costs</t>
  </si>
  <si>
    <t>Total Survey &amp; Engineering</t>
  </si>
  <si>
    <t>CONSTRUCTION INTEREST &amp; FEES</t>
  </si>
  <si>
    <t>Construction Loan Interest</t>
  </si>
  <si>
    <t>Origination Fee</t>
  </si>
  <si>
    <t>Credit Enhancement/Application Fee</t>
  </si>
  <si>
    <t>Bond Premium</t>
  </si>
  <si>
    <t>Cost of Issuance</t>
  </si>
  <si>
    <t>Title &amp; Recording</t>
  </si>
  <si>
    <t>Taxes</t>
  </si>
  <si>
    <t>Insurance</t>
  </si>
  <si>
    <t>Employment Reporting</t>
  </si>
  <si>
    <t>Other Construction Int. &amp; Fees: (Specify)</t>
  </si>
  <si>
    <t>Total Construction Interest &amp; Fees</t>
  </si>
  <si>
    <t>PERMANENT FINANCING</t>
  </si>
  <si>
    <t>Loan Origination Fee</t>
  </si>
  <si>
    <t>Other Perm. Financing Costs: (Specify)</t>
  </si>
  <si>
    <t>Total Permanent Financing Costs</t>
  </si>
  <si>
    <t>Subtotals Forward</t>
  </si>
  <si>
    <t>LEGAL FEES</t>
  </si>
  <si>
    <t>Legal Paid by Applicant</t>
  </si>
  <si>
    <t>Other Attorney Costs: (Specify)</t>
  </si>
  <si>
    <t>Total Attorney Costs</t>
  </si>
  <si>
    <t>RESERVES</t>
  </si>
  <si>
    <t>Operating Reserve</t>
  </si>
  <si>
    <t>Replacement Reserve</t>
  </si>
  <si>
    <t>Transition Reserve</t>
  </si>
  <si>
    <t>Rent Reserve</t>
  </si>
  <si>
    <t>Other Reserve Costs: (Specify)</t>
  </si>
  <si>
    <t>Total Reserve Costs</t>
  </si>
  <si>
    <t>CONTINGENCY COSTS</t>
  </si>
  <si>
    <t xml:space="preserve">Construction Hard Cost Contingency </t>
  </si>
  <si>
    <t>Soft Cost Contingency</t>
  </si>
  <si>
    <t>Total Contingency Costs</t>
  </si>
  <si>
    <t>OTHER PROJECT COSTS</t>
  </si>
  <si>
    <t>TCAC App/Allocation/Monitoring Fees</t>
  </si>
  <si>
    <t>Environmental Audit</t>
  </si>
  <si>
    <t>Local Development Impact Fees</t>
  </si>
  <si>
    <t>Permit Processing Fees</t>
  </si>
  <si>
    <t>Capital Fees</t>
  </si>
  <si>
    <t>Marketing</t>
  </si>
  <si>
    <t>Furnishings</t>
  </si>
  <si>
    <t>Accounting/Reimbursable</t>
  </si>
  <si>
    <t>Appraisal Costs</t>
  </si>
  <si>
    <t>Other Costs: (Specify)</t>
  </si>
  <si>
    <t>Total Other Costs</t>
  </si>
  <si>
    <t>SUBTOTAL PROJECT COST</t>
  </si>
  <si>
    <t>DEVELOPER COSTS</t>
  </si>
  <si>
    <t>Developer Overhead/Profit</t>
  </si>
  <si>
    <t>Consultant/Processing Agent</t>
  </si>
  <si>
    <t>Project Administration</t>
  </si>
  <si>
    <t>Broker Fees Paid  to a Related Party</t>
  </si>
  <si>
    <t>Construction Oversight by Developer</t>
  </si>
  <si>
    <t>Other Developer Costs: (Specify)</t>
  </si>
  <si>
    <t>Total Developer Costs</t>
  </si>
  <si>
    <t>Total Project Costs</t>
  </si>
  <si>
    <t>Year 1 Annual Income and Expenses</t>
  </si>
  <si>
    <t>Employee Information</t>
  </si>
  <si>
    <t>Comments</t>
  </si>
  <si>
    <t>No.</t>
  </si>
  <si>
    <t>FTE</t>
  </si>
  <si>
    <t>Employee Job Title</t>
  </si>
  <si>
    <t>Salary/Wages</t>
  </si>
  <si>
    <t>Value of Free Rent</t>
  </si>
  <si>
    <t>On-Site Manager(s)</t>
  </si>
  <si>
    <t>On-Site Assistant Manager(s)</t>
  </si>
  <si>
    <t>Supportive Services Staff Supervisor(s)</t>
  </si>
  <si>
    <t>Supportive Services Coordinator, On-Site</t>
  </si>
  <si>
    <t>Other Supportive Services Staff (inc. Case Manager)</t>
  </si>
  <si>
    <t>On-Site Maintenance Employee(s)</t>
  </si>
  <si>
    <t>On-Site Leasing Agent/Administrative Employee(s)</t>
  </si>
  <si>
    <t>On-Site Security Employee(s)</t>
  </si>
  <si>
    <t>Total Salaries and Value of Free Rent Units</t>
  </si>
  <si>
    <t>Payroll Taxes</t>
  </si>
  <si>
    <t xml:space="preserve">Show free rent as an </t>
  </si>
  <si>
    <t>Workers Compensation</t>
  </si>
  <si>
    <t>expense?</t>
  </si>
  <si>
    <t xml:space="preserve">Count free rent as an </t>
  </si>
  <si>
    <t>Employee Benefits</t>
  </si>
  <si>
    <t>Employee(s) Payroll Taxes, Workers Comp. &amp; Benefits</t>
  </si>
  <si>
    <t>Total Employee(s) Expenses</t>
  </si>
  <si>
    <t>Employee Units</t>
  </si>
  <si>
    <t>Job Title(s) of Employee(s) Living On-Site</t>
  </si>
  <si>
    <t>Unit Type
(No. of bdrms.)</t>
  </si>
  <si>
    <t>Square Footage</t>
  </si>
  <si>
    <t xml:space="preserve"> </t>
  </si>
  <si>
    <t>Total Square Footage</t>
  </si>
  <si>
    <t>Year 1 Annual Operating Budget</t>
  </si>
  <si>
    <t xml:space="preserve"> Acct. No.</t>
  </si>
  <si>
    <t>Revenue - Income</t>
  </si>
  <si>
    <t xml:space="preserve">Residential </t>
  </si>
  <si>
    <t xml:space="preserve">Commercial </t>
  </si>
  <si>
    <t>Services Coordinator</t>
  </si>
  <si>
    <t>5120/5140</t>
  </si>
  <si>
    <t>Rent Revenue - Gross Potential</t>
  </si>
  <si>
    <t>Restricted Unit Rents</t>
  </si>
  <si>
    <t>Unrestricted Unit Rents</t>
  </si>
  <si>
    <t>Tenant Assistance Payments</t>
  </si>
  <si>
    <t>Operating Subsidy: (specify)</t>
  </si>
  <si>
    <t>Laundry and Vending Revenue</t>
  </si>
  <si>
    <t>Garage and Parking Spaces</t>
  </si>
  <si>
    <t>Interim Housing Revenue</t>
  </si>
  <si>
    <t>Gross Potential Income (GPI)</t>
  </si>
  <si>
    <t>Vacancy Rate:  Restricted Units</t>
  </si>
  <si>
    <t>Vacancy Rate:  Unrestricted Units</t>
  </si>
  <si>
    <t>Vacancy Rate:  Tenant Assistance Payments</t>
  </si>
  <si>
    <t xml:space="preserve">Vacancy Rate:  Laundry &amp; Vending &amp; Other Income  </t>
  </si>
  <si>
    <t xml:space="preserve">Vacancy Rate:  Commercial Income </t>
  </si>
  <si>
    <t>5220/5240</t>
  </si>
  <si>
    <t>Vacancy Loss(es)</t>
  </si>
  <si>
    <t>Effective Gross Income (EGI)</t>
  </si>
  <si>
    <t>Expenses</t>
  </si>
  <si>
    <t>Administrative Expenses: 6200/6300</t>
  </si>
  <si>
    <t>Conventions and Meetings</t>
  </si>
  <si>
    <t>Advertising and Marketing</t>
  </si>
  <si>
    <t>Other Renting Expenses</t>
  </si>
  <si>
    <t>Office/Administrative Salaries -- from above</t>
  </si>
  <si>
    <t>Office Expenses</t>
  </si>
  <si>
    <t>Office or Model Apartment Rent</t>
  </si>
  <si>
    <t>Management Fee</t>
  </si>
  <si>
    <t>Site/Resident Manager(s) Salaries -- from above</t>
  </si>
  <si>
    <t>Administrative Free Rent Unit  -- from above</t>
  </si>
  <si>
    <t>Legal Expense -- Project</t>
  </si>
  <si>
    <t>Audit Expense</t>
  </si>
  <si>
    <t>Bookkeeping Fees/Accounting Services</t>
  </si>
  <si>
    <t>Miscellaneous Administrative Expenses</t>
  </si>
  <si>
    <t>6263T</t>
  </si>
  <si>
    <t xml:space="preserve">  Total Administrative Expenses</t>
  </si>
  <si>
    <t>Utilities Expenses: 6400</t>
  </si>
  <si>
    <t>Electricity</t>
  </si>
  <si>
    <t>Water</t>
  </si>
  <si>
    <t>Gas</t>
  </si>
  <si>
    <t>Sewer</t>
  </si>
  <si>
    <t>Other Utilities: (specify)</t>
  </si>
  <si>
    <t>6400T</t>
  </si>
  <si>
    <t xml:space="preserve">  Total Utilities Expenses</t>
  </si>
  <si>
    <t>Operating and Maintenance Expenses: 6500</t>
  </si>
  <si>
    <t>Payroll -- from above</t>
  </si>
  <si>
    <t xml:space="preserve">Supplies </t>
  </si>
  <si>
    <t>Contracts</t>
  </si>
  <si>
    <t>Operating &amp; Maintenance Free Rent Unit -- from above</t>
  </si>
  <si>
    <t>Garbage and Trash Removal</t>
  </si>
  <si>
    <t>Security Contract</t>
  </si>
  <si>
    <t>Security Free Rent Unit -- from above</t>
  </si>
  <si>
    <t>Heating/Cooling Repairs and Maintenance</t>
  </si>
  <si>
    <t>Snow Removal</t>
  </si>
  <si>
    <t>Vehicle &amp; Maintenance Equipment Operation/Reports</t>
  </si>
  <si>
    <t>Miscellaneous Operating and Maintenance Expenses</t>
  </si>
  <si>
    <t>6500T</t>
  </si>
  <si>
    <t>Total Operating &amp; Maintenance Expenses</t>
  </si>
  <si>
    <t>Taxes and Insurance: 6700</t>
  </si>
  <si>
    <t>Real Estate Taxes</t>
  </si>
  <si>
    <t>Payroll Taxes (Project's Share) -- from above</t>
  </si>
  <si>
    <t>Property and Liability Insurance (Hazard)</t>
  </si>
  <si>
    <t>Other Insurance (e.g. Earthquake)</t>
  </si>
  <si>
    <t>Fidelity Bond Insurance</t>
  </si>
  <si>
    <t>Worker's Compensation -- from above</t>
  </si>
  <si>
    <t>Health Insurance/Other Employee Benefits--from above</t>
  </si>
  <si>
    <t>Miscellaneous Taxes, Licenses, Permits &amp; Insurance</t>
  </si>
  <si>
    <t>6700T</t>
  </si>
  <si>
    <t xml:space="preserve">  Total Taxes and Insurance</t>
  </si>
  <si>
    <t>Supportive Services Costs: 6900</t>
  </si>
  <si>
    <t>Staff Supervisor(s) Salaries - from above</t>
  </si>
  <si>
    <t>Services Coordinator Salaries, On-Site - from above</t>
  </si>
  <si>
    <t>Other Supportive Services Staff Salaries - from above</t>
  </si>
  <si>
    <t>Supportive Services Admin Overhead</t>
  </si>
  <si>
    <t>Other Supportive Services Costs: (specify)</t>
  </si>
  <si>
    <t>6900T</t>
  </si>
  <si>
    <t xml:space="preserve">  Total Supportive Services Costs</t>
  </si>
  <si>
    <t>Total Operating Expenses</t>
  </si>
  <si>
    <t>Funded Reserves: 7200</t>
  </si>
  <si>
    <t>Residential</t>
  </si>
  <si>
    <t>Commercial</t>
  </si>
  <si>
    <t>Required Replacement Reserve Deposits</t>
  </si>
  <si>
    <t>Other Reserves: (specify)</t>
  </si>
  <si>
    <t>Total Reserves</t>
  </si>
  <si>
    <t>Ground Lease</t>
  </si>
  <si>
    <t>Total Ground Lease</t>
  </si>
  <si>
    <t>Net Operating Income</t>
  </si>
  <si>
    <t>Financial Expenses: 6800</t>
  </si>
  <si>
    <t>1st Mortgage Debt Service</t>
  </si>
  <si>
    <t xml:space="preserve">2nd Mortgage Debt Service </t>
  </si>
  <si>
    <t>3rd Mortgage Debt Service</t>
  </si>
  <si>
    <t>Misc. Financial Expenses: (specify)</t>
  </si>
  <si>
    <t>6800T</t>
  </si>
  <si>
    <t>Total Financial Expenses</t>
  </si>
  <si>
    <t xml:space="preserve"> Cash Flow</t>
  </si>
  <si>
    <t>Asset Management/Similar Fees</t>
  </si>
  <si>
    <t>Cash Flow Analysis</t>
  </si>
  <si>
    <t>Income from Restricted Units will be based on Proposed Rents?</t>
  </si>
  <si>
    <t>Proposed Rents</t>
  </si>
  <si>
    <t>Income From Housing Units</t>
  </si>
  <si>
    <t>Inflation</t>
  </si>
  <si>
    <t>Year 6</t>
  </si>
  <si>
    <t>Year 7</t>
  </si>
  <si>
    <t>Year 8</t>
  </si>
  <si>
    <t>Year 9</t>
  </si>
  <si>
    <t>Year 10</t>
  </si>
  <si>
    <t>Year 11</t>
  </si>
  <si>
    <t>Year 12</t>
  </si>
  <si>
    <t>Year 13</t>
  </si>
  <si>
    <t>Year 14</t>
  </si>
  <si>
    <t>Year 15</t>
  </si>
  <si>
    <t>Restricted Unit  Rents</t>
  </si>
  <si>
    <t>Gross Potential Income - Housing</t>
  </si>
  <si>
    <t>Other Income</t>
  </si>
  <si>
    <t>Laundry &amp; Vending</t>
  </si>
  <si>
    <t xml:space="preserve">Other Income    </t>
  </si>
  <si>
    <t>Commercial Income</t>
  </si>
  <si>
    <t>Gross Potential Income - Other</t>
  </si>
  <si>
    <t>Gross Potential Income - Total</t>
  </si>
  <si>
    <t>Vacancy Assumptions</t>
  </si>
  <si>
    <t>Restricted Units</t>
  </si>
  <si>
    <t>Unrestricted Units</t>
  </si>
  <si>
    <t xml:space="preserve">Laundry/Vending/Other Income </t>
  </si>
  <si>
    <t xml:space="preserve">Commercial Income </t>
  </si>
  <si>
    <t>Total Vacancy Loss</t>
  </si>
  <si>
    <t>Effective Gross Income</t>
  </si>
  <si>
    <t>Operating Expenses &amp; Reserve Deposits</t>
  </si>
  <si>
    <t>Residential Exp. (w/o Real Estate Taxes &amp; Sup. Services)</t>
  </si>
  <si>
    <t>Supportive Services Costs</t>
  </si>
  <si>
    <t>Other Reserves</t>
  </si>
  <si>
    <t>Commercial Expenses</t>
  </si>
  <si>
    <t>Total Expenses &amp; Reserves</t>
  </si>
  <si>
    <t>Debt Service</t>
  </si>
  <si>
    <t>1st Mortgage</t>
  </si>
  <si>
    <t>Bridge Loan (repaid from Investor equity)</t>
  </si>
  <si>
    <t>2nd Mortgage</t>
  </si>
  <si>
    <t>Total Required Debt Service</t>
  </si>
  <si>
    <t>Cash Flow after all debt service</t>
  </si>
  <si>
    <t>Debt Service Coverage Ratio (DSCR)</t>
  </si>
  <si>
    <t>Use of Cash Flow After Debt Service - HCD Projects</t>
  </si>
  <si>
    <t>Asset Mgmt./ Similar Fees</t>
  </si>
  <si>
    <t xml:space="preserve">Max Asset Mgmt/Similar Fees </t>
  </si>
  <si>
    <t>Target NOI to get to 1.1 DSCR</t>
  </si>
  <si>
    <t>Subsidy needed to get to 1.1 DSCR</t>
  </si>
  <si>
    <t>Homekey Operating Subsidy amount</t>
  </si>
  <si>
    <t>Net Operating Income (NOI)</t>
  </si>
  <si>
    <t>Homekey Subsidy Draw*</t>
  </si>
  <si>
    <t>Cash Flow after Homekey subsidy</t>
  </si>
  <si>
    <t>Net Operating Income after HK subsidy</t>
  </si>
  <si>
    <t>DSCR with Homekey subsidy</t>
  </si>
  <si>
    <t>*HK Subsidy balance after draws</t>
  </si>
  <si>
    <t>§304 Application Scoring Criteria (207 Points Max)</t>
  </si>
  <si>
    <r>
      <t xml:space="preserve">Applications meeting the minimum program requirements outlined in Article III will require a minimum score of </t>
    </r>
    <r>
      <rPr>
        <b/>
        <i/>
        <sz val="11"/>
        <color rgb="FFC00000"/>
        <rFont val="Arial"/>
        <family val="2"/>
      </rPr>
      <t>120</t>
    </r>
    <r>
      <rPr>
        <i/>
        <sz val="11"/>
        <color rgb="FFC00000"/>
        <rFont val="Arial"/>
        <family val="2"/>
      </rPr>
      <t xml:space="preserve"> points to be eligible for funding. Scores will be based on the following criteria:</t>
    </r>
  </si>
  <si>
    <t>Total Self Score not including Racial Equity and Community Engagement §304(3)</t>
  </si>
  <si>
    <t>1. Ability to expend funds timely and demonstration of operating leverage - max 40 points</t>
  </si>
  <si>
    <t>a. Identification of the site suitable for development and evidence of site control, or a plan and timeline for obtaining site control along with other supporting evidence - 20 max points based on average score of all sites</t>
  </si>
  <si>
    <t>a. Fee title</t>
  </si>
  <si>
    <t>b. Leasehold interest on the property with provisions that enable the lessee to make improvements on and encumber the property</t>
  </si>
  <si>
    <t>c. Leasehold estate held by a Tribal Entity in federal tribal trust lands property, or a valid sublease thereof approved by the Bureau of Indian Affairs</t>
  </si>
  <si>
    <t>d. Executed disposition and development agreement</t>
  </si>
  <si>
    <t>e. A sales contract, or other enforceable agreement for the acquisition of the property</t>
  </si>
  <si>
    <t>f. Executed letter of intent that represents to HCD, the Applicant will acquire a sufficient legal interest in the property to accomplish the purpose of the award</t>
  </si>
  <si>
    <t>g. Other (describe in row 24 of Threshold worksheet)</t>
  </si>
  <si>
    <t>b. Commitment of non-Homekey rental or operating subsidies used to maintain the ongoing affordability of the Project - max 20 points, 1 point for each 5% increment of Assisted Units with committed funding. Project or Grantee based commitments for operating assistance, or rental subsidies.</t>
  </si>
  <si>
    <t>Assisted Units with committed funding</t>
  </si>
  <si>
    <t>Total Units</t>
  </si>
  <si>
    <t>% increment of Assisted Units with committed funding</t>
  </si>
  <si>
    <t>Increments of 5%</t>
  </si>
  <si>
    <r>
      <t xml:space="preserve">Rental Subsidy: </t>
    </r>
    <r>
      <rPr>
        <sz val="11"/>
        <color rgb="FFC00000"/>
        <rFont val="Arial"/>
        <family val="2"/>
      </rPr>
      <t>'Award, Match, Revenue' cell M3</t>
    </r>
  </si>
  <si>
    <t>Funds Committed</t>
  </si>
  <si>
    <t>Assisted Units receiving Rental Subsidy</t>
  </si>
  <si>
    <r>
      <t xml:space="preserve">Rental Subsidy </t>
    </r>
    <r>
      <rPr>
        <sz val="11"/>
        <color rgb="FFC00000"/>
        <rFont val="Arial"/>
        <family val="2"/>
      </rPr>
      <t>'Award, Match, Revenue' cell O3</t>
    </r>
  </si>
  <si>
    <r>
      <t xml:space="preserve">Operating Subsidy </t>
    </r>
    <r>
      <rPr>
        <sz val="11"/>
        <color rgb="FFC00000"/>
        <rFont val="Arial"/>
        <family val="2"/>
      </rPr>
      <t>'Operating' cell C38</t>
    </r>
  </si>
  <si>
    <t>Assisted Units receiving Operating Subsidy</t>
  </si>
  <si>
    <r>
      <t xml:space="preserve">Operating Subsidy </t>
    </r>
    <r>
      <rPr>
        <sz val="11"/>
        <color rgb="FFC00000"/>
        <rFont val="Arial"/>
        <family val="2"/>
      </rPr>
      <t>'Operating' cell C39</t>
    </r>
  </si>
  <si>
    <t>Provide committment of this non-Homekey rental subsidy that will be used to maintain the ongoing affordability of the Project.</t>
  </si>
  <si>
    <t>Provide committment of this non-Homekey operating subsidy that will be used to maintain the ongoing affordability of the Project.</t>
  </si>
  <si>
    <t>2. Experience - max 55 points</t>
  </si>
  <si>
    <t>a. Development, ownership, or operation experience - max 25 points</t>
  </si>
  <si>
    <r>
      <rPr>
        <b/>
        <sz val="11"/>
        <color rgb="FF0000FF"/>
        <rFont val="Arial"/>
        <family val="2"/>
      </rPr>
      <t xml:space="preserve">a1. </t>
    </r>
    <r>
      <rPr>
        <sz val="11"/>
        <color theme="1"/>
        <rFont val="Arial"/>
        <family val="2"/>
      </rPr>
      <t>Does Applicant have the following experience: Development, ownership, or operation of one project similar in scope and size to the proposed project (describe below) - 10 points</t>
    </r>
  </si>
  <si>
    <r>
      <rPr>
        <b/>
        <sz val="11"/>
        <color rgb="FF0000FF"/>
        <rFont val="Arial"/>
        <family val="2"/>
      </rPr>
      <t>a2. If a1 above is Yes, 10 points already earned.</t>
    </r>
    <r>
      <rPr>
        <sz val="11"/>
        <color theme="1"/>
        <rFont val="Arial"/>
        <family val="2"/>
      </rPr>
      <t xml:space="preserve"> Does Applicant have the following experience? Development, ownership, or operation of at least two affordable rental housing or interim projects in the last ten years, with at least one of those projects containing at least one unit housing a tenant who qualifies as a member of the Target Population (provide details below)? - 10 points</t>
    </r>
  </si>
  <si>
    <t>a3. 5 additional points awarded for each additional project (development, ownership, or operation of affordable rental housing or interim projects in the last ten years serving at least one member of the Target Population) - max 15 points</t>
  </si>
  <si>
    <t>b. Experience helping persons address barriers to housing stability and providing other support services; 1 point awarded for each year of service experience - max 15 points</t>
  </si>
  <si>
    <t>Project Name and address</t>
  </si>
  <si>
    <t>Experience Provider</t>
  </si>
  <si>
    <t>Explanation:</t>
  </si>
  <si>
    <t xml:space="preserve">c. Commitment letter(s) or MOU(s) documenting how the complete development and management team (which may include Applicant, Developer, Property Manager, and Lead Service Provider) are connected and will work together on the Project - 15 points </t>
  </si>
  <si>
    <t>Commitment letter(s) or MOU(s)</t>
  </si>
  <si>
    <t>Provide commitment letter(s) or MOU(s) documentation</t>
  </si>
  <si>
    <r>
      <t xml:space="preserve">3. Racial equity and community engagement - max 20 points </t>
    </r>
    <r>
      <rPr>
        <b/>
        <sz val="11"/>
        <color rgb="FF0000FF"/>
        <rFont val="Arial"/>
        <family val="2"/>
      </rPr>
      <t>"For HCD use only"</t>
    </r>
  </si>
  <si>
    <r>
      <t xml:space="preserve">a. Racial Disparities Analysis - 10 points </t>
    </r>
    <r>
      <rPr>
        <b/>
        <sz val="11"/>
        <color rgb="FF0000FF"/>
        <rFont val="Arial"/>
        <family val="2"/>
      </rPr>
      <t>(HCD will score Racial Disparities Analysis based on the submitted Continuum of Care Outcomes)</t>
    </r>
  </si>
  <si>
    <t>Racial Disparities Analysis</t>
  </si>
  <si>
    <t>Provide the Continuum of Care Outcomes by Race and Ethnicity</t>
  </si>
  <si>
    <r>
      <t xml:space="preserve">b. Community Engagement - 10 points </t>
    </r>
    <r>
      <rPr>
        <b/>
        <sz val="11"/>
        <color rgb="FF0000FF"/>
        <rFont val="Arial"/>
        <family val="2"/>
      </rPr>
      <t>(HCD will score Community Engagement based on the submitted narrative)</t>
    </r>
  </si>
  <si>
    <t>Community Engagement</t>
  </si>
  <si>
    <t>Provide a detailed narrative of how the Applicant has engaged or will engage with the target community, including people currently experiencing homelessness and people with lived experience of homelessness, to inform the design of the project. Provide documentation of this engagement, including meeting notes, community planning documents, MOU of partnership with community organizations, etc.</t>
  </si>
  <si>
    <t>4. Community impact and site selection - max 92 points</t>
  </si>
  <si>
    <r>
      <t xml:space="preserve">a. Project serves specific sub-populations </t>
    </r>
    <r>
      <rPr>
        <sz val="11"/>
        <color rgb="FFC00000"/>
        <rFont val="Arial"/>
        <family val="2"/>
      </rPr>
      <t>from Award, Match, and Revenue cells R26, S36, T26</t>
    </r>
    <r>
      <rPr>
        <sz val="11"/>
        <rFont val="Arial"/>
        <family val="2"/>
      </rPr>
      <t xml:space="preserve"> - 20 points</t>
    </r>
  </si>
  <si>
    <t>Chronic Homelessness</t>
  </si>
  <si>
    <t>Homelessness</t>
  </si>
  <si>
    <t>b. Assisted Units include units for large family housing types - 10 points</t>
  </si>
  <si>
    <r>
      <t xml:space="preserve">Percentage of Assisted units that are </t>
    </r>
    <r>
      <rPr>
        <b/>
        <sz val="11"/>
        <rFont val="Arial"/>
        <family val="2"/>
      </rPr>
      <t>three bedrooms or large</t>
    </r>
    <r>
      <rPr>
        <sz val="11"/>
        <rFont val="Arial"/>
        <family val="2"/>
      </rPr>
      <t xml:space="preserve">r </t>
    </r>
    <r>
      <rPr>
        <sz val="11"/>
        <color rgb="FFC00000"/>
        <rFont val="Arial"/>
        <family val="2"/>
      </rPr>
      <t>from 'Award, Match, and Revenue' worksheet cells U44 + U45 + U46</t>
    </r>
  </si>
  <si>
    <r>
      <t>Percentage of Assisted units that are</t>
    </r>
    <r>
      <rPr>
        <b/>
        <sz val="11"/>
        <rFont val="Arial"/>
        <family val="2"/>
      </rPr>
      <t xml:space="preserve"> two bedrooms or larger</t>
    </r>
    <r>
      <rPr>
        <sz val="11"/>
        <rFont val="Arial"/>
        <family val="2"/>
      </rPr>
      <t xml:space="preserve"> </t>
    </r>
    <r>
      <rPr>
        <sz val="11"/>
        <color rgb="FFC00000"/>
        <rFont val="Arial"/>
        <family val="2"/>
      </rPr>
      <t>from 'Award, Match, and Revenue' worksheet cells U43 + U44 + U45 + U46</t>
    </r>
  </si>
  <si>
    <r>
      <t xml:space="preserve">c. Commitment to 55 year deed restriction to serve Target Population, </t>
    </r>
    <r>
      <rPr>
        <sz val="11"/>
        <color rgb="FFC00000"/>
        <rFont val="Arial"/>
        <family val="2"/>
      </rPr>
      <t>waiving potential accommodation by HCD to increase income limits as described in §303(ii)</t>
    </r>
    <r>
      <rPr>
        <sz val="11"/>
        <rFont val="Arial"/>
        <family val="2"/>
      </rPr>
      <t xml:space="preserve"> - max 20 points</t>
    </r>
  </si>
  <si>
    <t>Total Assisted units Applicant elects to waive the right to increase income levels persuant to §303(ii).</t>
  </si>
  <si>
    <t>Percentage of Assisted units elected to waive increase of income limits</t>
  </si>
  <si>
    <t>d. Extent Project (20 unit min) commits to being accessible to persons with disabilities - max 10 points</t>
  </si>
  <si>
    <r>
      <t xml:space="preserve">Total units </t>
    </r>
    <r>
      <rPr>
        <sz val="11"/>
        <color rgb="FFC00000"/>
        <rFont val="Arial"/>
        <family val="2"/>
      </rPr>
      <t>from 'Award, Match, and Revenue' worksheet cell E25</t>
    </r>
  </si>
  <si>
    <t># of units exceeding state and federal accessibility requirements set forth in §505, specifically units with features accessible to persons with mobility disabilities - 5 points</t>
  </si>
  <si>
    <t>% of units exceeding state and federal accessibility requirements as set forth in §505</t>
  </si>
  <si>
    <t># of units with features accessible to persons with hearing or vision disabilities as defined in 24 CFR Part 8.22 and the parallel ADAAG 2010 and CBC Ch. 11B provisions - 5 points</t>
  </si>
  <si>
    <t>% of units accessible to persons with hearing or vision disabilities</t>
  </si>
  <si>
    <t>e. The Project requires no rehabilitation/construction, or the rehabilitation/construction and full occupancy can be completed within eight months of award - max 10 points</t>
  </si>
  <si>
    <t>f. Capital match vs. minimum match required per Assisted unit; and average total cost per Assisted unit vs. minimum baseline per door</t>
  </si>
  <si>
    <t>f1. Capital match exceeds the minimum match required per Assisted Unit, 1 pt for every $10,000 over the required match - max 10 points</t>
  </si>
  <si>
    <t>Total Capital match = Total Budgeted Development Costs less Capital Homekey Award</t>
  </si>
  <si>
    <r>
      <t xml:space="preserve">Minimum match required for Assisted units </t>
    </r>
    <r>
      <rPr>
        <sz val="11"/>
        <color rgb="FFC00000"/>
        <rFont val="Arial"/>
        <family val="2"/>
      </rPr>
      <t>from 'Award, Match, and Revenue' worksheet cell AI25</t>
    </r>
  </si>
  <si>
    <t>Excess match
(Total less minimum)</t>
  </si>
  <si>
    <t>Increments of $10,000 under baseline amount</t>
  </si>
  <si>
    <t>f2. Where average total cost per Assisted Unit is below the minimum baseline per door, 1 pt for every $10,000 under baseline amount - max 10 pts</t>
  </si>
  <si>
    <r>
      <t xml:space="preserve">Average baseline per Assisted Unit </t>
    </r>
    <r>
      <rPr>
        <sz val="11"/>
        <color rgb="FFC00000"/>
        <rFont val="Arial"/>
        <family val="2"/>
      </rPr>
      <t>from 'Award, Match, and Revenue' worksheet cells X25 / U25</t>
    </r>
  </si>
  <si>
    <r>
      <t xml:space="preserve">Average cost per Assisted unit </t>
    </r>
    <r>
      <rPr>
        <sz val="11"/>
        <color rgb="FFC00000"/>
        <rFont val="Arial"/>
        <family val="2"/>
      </rPr>
      <t>from 'Award, Match, and Revenue' worksheet cells AC25 / U25</t>
    </r>
  </si>
  <si>
    <t>g. Site Selection - max 12 points</t>
  </si>
  <si>
    <t>Amenities Site Map</t>
  </si>
  <si>
    <t>Map indicating the proposed housing location(s) and scoring related amenities below.</t>
  </si>
  <si>
    <t>Project site is located within 1/2 mile of a bus rapid transit station, light rail station, commuter rail station, ferry terminal, bus station, or public bus stop OR the project includes an alternative transportation service for residents (e.g., van or dial-a-ride service), if costs of obtaining and maintaining the van and its service are included in the budget and the operating schedule is either on demand by tenants or a regular schedule is provided - 4 points</t>
  </si>
  <si>
    <t>i. Project site is located within 1/2 mile of a full-scale grocery store/supermarket where staples, fresh meat, and fresh produce are sold 1 mile for projects in rural areas? - 2 points</t>
  </si>
  <si>
    <t>ii. Project site is located within 1/2 mile (1 mile for projects in rural areas) of a qualifying medical clinic with a physician, physician’s assistant, or nurse practitioner on-site for a minimum of 40 hours each week, or hospital (not a private doctor's office)? A qualifying medical clinic must accept Medi-Cal/Medicare payments, or Health Care for the Homeless, or have an equally comprehensive subsidy program for low-income patients. - 1 point</t>
  </si>
  <si>
    <t>iii. Project site is located within 1/2 mile of a book-lending public library (1 mile for projects in rural areas)? - 1 point</t>
  </si>
  <si>
    <t>iv. Project site is located within 1/2 mile of a pharmacy (1 mile for projects in rural areas). May be included in a grocery store or health facility? - 2 points</t>
  </si>
  <si>
    <t>v. For Projects with units serving Homeless Youth: Project site is within one mile of at least two of the following: community colleges, universities, trade schools, apprenticeship programs, employment programs, childcare centers for parenting youth, and/or community centers for youth (e.g., LGBTQ+ centers, drop-in youth centers)? - 2 points</t>
  </si>
  <si>
    <t>5. Negative Points - max minus 20 points</t>
  </si>
  <si>
    <t>a. For any Project resulting in the permanent displacement of residents (not businesses or farm operations), as outlined below:</t>
  </si>
  <si>
    <t>The Project permanently displaces existing residents:</t>
  </si>
  <si>
    <t>Total existing units</t>
  </si>
  <si>
    <t>Total household units that will be displaced</t>
  </si>
  <si>
    <t>Percentage of household units that will be displaced</t>
  </si>
  <si>
    <t>Note: In the event of program oversubscription, where Applicants have the same score and the same date and time stamp, HCD may consider additional criteria as a tiebreaker, including but not limited to the cost-effectiveness, community impact, affirmatively furthering fair housing, innovative housing types, tenant stability and proximity to transit, services and amenities.</t>
  </si>
  <si>
    <t>Application Development Team (ADT) Support Form</t>
  </si>
  <si>
    <r>
      <t xml:space="preserve">Complete the "yellow" cells in the form below for application related issues and email a copy to: </t>
    </r>
    <r>
      <rPr>
        <sz val="12"/>
        <color rgb="FF0070C0"/>
        <rFont val="Arial"/>
        <family val="2"/>
      </rPr>
      <t>appsupport@hcd.ca.gov</t>
    </r>
  </si>
  <si>
    <t>Name:</t>
  </si>
  <si>
    <t>Contact Phone:</t>
  </si>
  <si>
    <t>CoverPage</t>
  </si>
  <si>
    <t>Issue #</t>
  </si>
  <si>
    <t>Program Name &amp; Round</t>
  </si>
  <si>
    <t>Tab</t>
  </si>
  <si>
    <t>Cell #</t>
  </si>
  <si>
    <t>Update/Comment</t>
  </si>
  <si>
    <t xml:space="preserve">Urgency </t>
  </si>
  <si>
    <t>ADT Status</t>
  </si>
  <si>
    <t>Status Date</t>
  </si>
  <si>
    <t>Overview</t>
  </si>
  <si>
    <t>Homekey</t>
  </si>
  <si>
    <t>Certification &amp; Legal</t>
  </si>
  <si>
    <t>Supportive Services Plan</t>
  </si>
  <si>
    <t>Local &amp; Env Verification</t>
  </si>
  <si>
    <t>Award, Match, and Revenue</t>
  </si>
  <si>
    <t>Dev Budget</t>
  </si>
  <si>
    <t>Operating</t>
  </si>
  <si>
    <t>Cash Flow</t>
  </si>
  <si>
    <t>Application Scoring Criteria</t>
  </si>
  <si>
    <t>App Support</t>
  </si>
  <si>
    <t>Document Checklist</t>
  </si>
  <si>
    <t>Homekey Application Upload Document Checklist</t>
  </si>
  <si>
    <t>Document upload requirements and compliance information in column AK is auto-populated from document submittal replies in the worksheets noted below. Failure to submit a complete application including the required documentation may result in the need for you to amend and resubmit your application resulting in your application's HCD review to be repositioned to the date of resubmittal.</t>
  </si>
  <si>
    <t>Overview worksheet</t>
  </si>
  <si>
    <t>Co-App1 OrgDoc1, OrgDoc1, etc…</t>
  </si>
  <si>
    <t>Co-App2 OrgDoc2, OrgDoc2, etc…</t>
  </si>
  <si>
    <t>Threshold worksheet</t>
  </si>
  <si>
    <t>Phase II (prepared or updated no earlier than 12 months prior to the application due date).</t>
  </si>
  <si>
    <t>Racial Demographic Data Worksheet, which reports CoC outcomes by race and ethnicity. The worksheet on the Homekey webpage</t>
  </si>
  <si>
    <t>iii(a) and (b) If the acquired housing or site will be redeveloped/repositioned per the locality's overall goal to address the needs of the Target Population and the community (unless the target site is going to be demolished before any occupancy by the Target Population), provide a letter of commitment to ensure one-for-one replacement of units.</t>
  </si>
  <si>
    <t>Certification &amp; Legal worksheet</t>
  </si>
  <si>
    <t>Award, Match, and Revenue worksheet</t>
  </si>
  <si>
    <t>1Local housing authority document showing current utility allowance chart, with relevant components circled.</t>
  </si>
  <si>
    <t>A letter template and a list of potential Homekey complementary funding can be found on the Homekey webpage.</t>
  </si>
  <si>
    <t>Dev Sources worksheet</t>
  </si>
  <si>
    <t>Documentation for the executed funding commitments (see below)</t>
  </si>
  <si>
    <t>Application Scoring Criteria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</si>
</sst>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
    <numFmt numFmtId="166" formatCode="m/d/yy;@"/>
    <numFmt numFmtId="167" formatCode="0_);[Red]\(0\)"/>
    <numFmt numFmtId="168" formatCode="General_)"/>
    <numFmt numFmtId="169" formatCode="&quot;$&quot;#,##0.00"/>
    <numFmt numFmtId="170" formatCode="0.00_);[Red]\(0.00\)"/>
    <numFmt numFmtId="171" formatCode="00000"/>
    <numFmt numFmtId="172" formatCode="[&lt;=9999999]###\-####;\(###\)\ ###\-####"/>
    <numFmt numFmtId="173" formatCode="0.0"/>
  </numFmts>
  <fonts count="1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1"/>
      <name val="Arial"/>
      <family val="2"/>
    </font>
    <font>
      <b/>
      <i/>
      <sz val="9"/>
      <name val="Arial"/>
      <family val="2"/>
    </font>
    <font>
      <b/>
      <i/>
      <sz val="9"/>
      <color indexed="9"/>
      <name val="Arial"/>
      <family val="2"/>
    </font>
    <font>
      <sz val="11"/>
      <name val="Arial"/>
      <family val="2"/>
    </font>
    <font>
      <b/>
      <sz val="12"/>
      <name val="Arial"/>
      <family val="2"/>
    </font>
    <font>
      <b/>
      <i/>
      <sz val="10"/>
      <name val="Arial"/>
      <family val="2"/>
    </font>
    <font>
      <b/>
      <sz val="9"/>
      <name val="Arial"/>
      <family val="2"/>
    </font>
    <font>
      <sz val="8"/>
      <name val="Arial"/>
      <family val="2"/>
    </font>
    <font>
      <b/>
      <sz val="10"/>
      <name val="Arial"/>
      <family val="2"/>
    </font>
    <font>
      <sz val="10"/>
      <name val="Arial"/>
      <family val="2"/>
    </font>
    <font>
      <sz val="8"/>
      <color indexed="8"/>
      <name val="Tahoma"/>
      <family val="2"/>
    </font>
    <font>
      <b/>
      <sz val="8"/>
      <color indexed="8"/>
      <name val="Tahoma"/>
      <family val="2"/>
    </font>
    <font>
      <b/>
      <sz val="11"/>
      <name val="Arial"/>
      <family val="2"/>
    </font>
    <font>
      <b/>
      <sz val="10"/>
      <color indexed="8"/>
      <name val="Arial"/>
      <family val="2"/>
    </font>
    <font>
      <sz val="10"/>
      <color indexed="8"/>
      <name val="Arial"/>
      <family val="2"/>
    </font>
    <font>
      <sz val="8"/>
      <color indexed="81"/>
      <name val="Tahoma"/>
      <family val="2"/>
    </font>
    <font>
      <sz val="9"/>
      <color indexed="8"/>
      <name val="Arial"/>
      <family val="2"/>
    </font>
    <font>
      <sz val="10"/>
      <color indexed="12"/>
      <name val="Arial"/>
      <family val="2"/>
    </font>
    <font>
      <sz val="10"/>
      <name val="Times New Roman"/>
      <family val="1"/>
    </font>
    <font>
      <sz val="9"/>
      <name val="Arial"/>
      <family val="2"/>
    </font>
    <font>
      <sz val="9"/>
      <color theme="1"/>
      <name val="Arial"/>
      <family val="2"/>
    </font>
    <font>
      <b/>
      <sz val="9"/>
      <color indexed="81"/>
      <name val="Tahoma"/>
      <family val="2"/>
    </font>
    <font>
      <sz val="9"/>
      <color indexed="81"/>
      <name val="Tahoma"/>
      <family val="2"/>
    </font>
    <font>
      <sz val="10"/>
      <color rgb="FFFF0000"/>
      <name val="Arial"/>
      <family val="2"/>
    </font>
    <font>
      <sz val="10"/>
      <color theme="1"/>
      <name val="Arial"/>
      <family val="2"/>
    </font>
    <font>
      <sz val="9"/>
      <name val="Geneva"/>
    </font>
    <font>
      <b/>
      <sz val="9"/>
      <color indexed="8"/>
      <name val="Arial"/>
      <family val="2"/>
    </font>
    <font>
      <b/>
      <sz val="9"/>
      <name val="Times New Roman"/>
      <family val="1"/>
    </font>
    <font>
      <sz val="9"/>
      <color indexed="8"/>
      <name val="Tahoma"/>
      <family val="2"/>
    </font>
    <font>
      <sz val="11"/>
      <color theme="1"/>
      <name val="Arial"/>
      <family val="2"/>
    </font>
    <font>
      <b/>
      <sz val="11"/>
      <color theme="1"/>
      <name val="Arial"/>
      <family val="2"/>
    </font>
    <font>
      <sz val="9"/>
      <name val="Times New Roman"/>
      <family val="1"/>
    </font>
    <font>
      <u/>
      <sz val="10"/>
      <color indexed="12"/>
      <name val="Arial"/>
      <family val="2"/>
    </font>
    <font>
      <b/>
      <sz val="12"/>
      <color theme="1"/>
      <name val="Arial"/>
      <family val="2"/>
    </font>
    <font>
      <u/>
      <sz val="10"/>
      <color theme="10"/>
      <name val="Arial"/>
      <family val="2"/>
    </font>
    <font>
      <sz val="12"/>
      <name val="Arial"/>
      <family val="2"/>
    </font>
    <font>
      <b/>
      <sz val="14"/>
      <color rgb="FF0000FF"/>
      <name val="Arial"/>
      <family val="2"/>
    </font>
    <font>
      <sz val="12"/>
      <color rgb="FF0070C0"/>
      <name val="Arial"/>
      <family val="2"/>
    </font>
    <font>
      <u/>
      <sz val="11"/>
      <color theme="10"/>
      <name val="Calibri"/>
      <family val="2"/>
      <scheme val="minor"/>
    </font>
    <font>
      <u/>
      <sz val="11"/>
      <color theme="10"/>
      <name val="Arial"/>
      <family val="2"/>
    </font>
    <font>
      <b/>
      <sz val="26"/>
      <color theme="1"/>
      <name val="Arial"/>
      <family val="2"/>
    </font>
    <font>
      <b/>
      <sz val="20"/>
      <color theme="1"/>
      <name val="Arial"/>
      <family val="2"/>
    </font>
    <font>
      <b/>
      <sz val="14"/>
      <color theme="1"/>
      <name val="Arial"/>
      <family val="2"/>
    </font>
    <font>
      <b/>
      <sz val="11"/>
      <color rgb="FFC00000"/>
      <name val="Arial"/>
      <family val="2"/>
    </font>
    <font>
      <sz val="10"/>
      <color theme="0"/>
      <name val="Arial"/>
      <family val="2"/>
    </font>
    <font>
      <sz val="10"/>
      <color theme="1"/>
      <name val="Calibri"/>
      <family val="2"/>
      <scheme val="minor"/>
    </font>
    <font>
      <sz val="11"/>
      <name val="Calibri"/>
      <family val="2"/>
      <scheme val="minor"/>
    </font>
    <font>
      <i/>
      <sz val="11"/>
      <color theme="1"/>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name val="Courier"/>
      <charset val="134"/>
    </font>
    <font>
      <sz val="11"/>
      <name val="Times New Roman"/>
      <family val="1"/>
    </font>
    <font>
      <sz val="10"/>
      <color rgb="FF000000"/>
      <name val="Times New Roman"/>
      <family val="1"/>
    </font>
    <font>
      <sz val="11"/>
      <color indexed="8"/>
      <name val="Calibri"/>
      <family val="2"/>
    </font>
    <font>
      <u/>
      <sz val="10"/>
      <color indexed="12"/>
      <name val="Courier"/>
      <charset val="134"/>
    </font>
    <font>
      <sz val="12"/>
      <name val="Times New Roman"/>
      <family val="1"/>
    </font>
    <font>
      <sz val="10"/>
      <name val="MS Sans Serif"/>
      <charset val="134"/>
    </font>
    <font>
      <sz val="18"/>
      <color theme="3"/>
      <name val="Cambria"/>
      <family val="1"/>
      <scheme val="major"/>
    </font>
    <font>
      <u/>
      <sz val="11"/>
      <color theme="10"/>
      <name val="Calibri"/>
      <family val="2"/>
      <scheme val="minor"/>
    </font>
    <font>
      <b/>
      <sz val="11"/>
      <color indexed="8"/>
      <name val="Arial"/>
      <family val="2"/>
    </font>
    <font>
      <sz val="8"/>
      <color theme="1"/>
      <name val="Arial"/>
      <family val="2"/>
    </font>
    <font>
      <b/>
      <i/>
      <sz val="11"/>
      <color theme="1"/>
      <name val="Arial"/>
      <family val="2"/>
    </font>
    <font>
      <u/>
      <sz val="11"/>
      <color indexed="12"/>
      <name val="Arial"/>
      <family val="2"/>
    </font>
    <font>
      <sz val="11"/>
      <color rgb="FFC00000"/>
      <name val="Arial"/>
      <family val="2"/>
    </font>
    <font>
      <b/>
      <sz val="8"/>
      <name val="Arial"/>
      <family val="2"/>
    </font>
    <font>
      <b/>
      <sz val="14"/>
      <color rgb="FF3333FF"/>
      <name val="Arial"/>
      <family val="2"/>
    </font>
    <font>
      <b/>
      <sz val="9"/>
      <color theme="1"/>
      <name val="Arial"/>
      <family val="2"/>
    </font>
    <font>
      <b/>
      <sz val="16"/>
      <color rgb="FF3333FF"/>
      <name val="Arial"/>
      <family val="2"/>
    </font>
    <font>
      <b/>
      <sz val="11"/>
      <color rgb="FF3333FF"/>
      <name val="Arial"/>
      <family val="2"/>
    </font>
    <font>
      <i/>
      <sz val="11"/>
      <name val="Arial"/>
      <family val="2"/>
    </font>
    <font>
      <b/>
      <sz val="10"/>
      <color theme="1"/>
      <name val="Arial"/>
      <family val="2"/>
    </font>
    <font>
      <sz val="10"/>
      <color rgb="FF3333FF"/>
      <name val="Arial"/>
      <family val="2"/>
    </font>
    <font>
      <sz val="9"/>
      <color rgb="FF3333FF"/>
      <name val="Arial"/>
      <family val="2"/>
    </font>
    <font>
      <b/>
      <sz val="14"/>
      <color indexed="8"/>
      <name val="Arial"/>
      <family val="2"/>
    </font>
    <font>
      <b/>
      <sz val="10"/>
      <color rgb="FFFF0000"/>
      <name val="Arial"/>
      <family val="2"/>
    </font>
    <font>
      <b/>
      <sz val="12"/>
      <color indexed="8"/>
      <name val="Arial"/>
      <family val="2"/>
    </font>
    <font>
      <sz val="10"/>
      <name val="Geneva"/>
    </font>
    <font>
      <b/>
      <i/>
      <sz val="10"/>
      <color indexed="12"/>
      <name val="Arial"/>
      <family val="2"/>
    </font>
    <font>
      <vertAlign val="superscript"/>
      <sz val="11"/>
      <name val="Arial"/>
      <family val="2"/>
    </font>
    <font>
      <b/>
      <vertAlign val="superscript"/>
      <sz val="10"/>
      <color theme="1"/>
      <name val="Arial"/>
      <family val="2"/>
    </font>
    <font>
      <b/>
      <sz val="18"/>
      <name val="Arial"/>
      <family val="2"/>
    </font>
    <font>
      <b/>
      <sz val="20"/>
      <color rgb="FFC00000"/>
      <name val="Arial"/>
      <family val="2"/>
    </font>
    <font>
      <b/>
      <i/>
      <sz val="11"/>
      <color rgb="FFC00000"/>
      <name val="Arial"/>
      <family val="2"/>
    </font>
    <font>
      <i/>
      <sz val="10"/>
      <color rgb="FFFF0000"/>
      <name val="Arial"/>
      <family val="2"/>
    </font>
    <font>
      <b/>
      <sz val="8"/>
      <color indexed="81"/>
      <name val="Tahoma"/>
      <family val="2"/>
    </font>
    <font>
      <sz val="11"/>
      <color indexed="10"/>
      <name val="Arial"/>
      <family val="2"/>
    </font>
    <font>
      <sz val="10"/>
      <color rgb="FF000000"/>
      <name val="Arial"/>
      <family val="2"/>
    </font>
    <font>
      <sz val="11"/>
      <color rgb="FF0000FF"/>
      <name val="Arial"/>
      <family val="2"/>
    </font>
    <font>
      <sz val="11"/>
      <color rgb="FF000099"/>
      <name val="Arial"/>
      <family val="2"/>
    </font>
    <font>
      <sz val="10"/>
      <color rgb="FFC00000"/>
      <name val="Arial"/>
      <family val="2"/>
    </font>
    <font>
      <strike/>
      <sz val="11"/>
      <name val="Arial"/>
      <family val="2"/>
    </font>
    <font>
      <b/>
      <sz val="11"/>
      <color rgb="FF0000FF"/>
      <name val="Arial"/>
      <family val="2"/>
    </font>
    <font>
      <b/>
      <i/>
      <sz val="10"/>
      <color theme="1"/>
      <name val="Arial"/>
      <family val="2"/>
    </font>
    <font>
      <b/>
      <sz val="9"/>
      <color rgb="FF0000FF"/>
      <name val="Arial"/>
      <family val="2"/>
    </font>
    <font>
      <sz val="9"/>
      <color rgb="FF0000FF"/>
      <name val="Arial"/>
      <family val="2"/>
    </font>
    <font>
      <b/>
      <sz val="9"/>
      <color rgb="FFC00000"/>
      <name val="Arial"/>
      <family val="2"/>
    </font>
    <font>
      <b/>
      <sz val="10"/>
      <color theme="0"/>
      <name val="Arial"/>
      <family val="2"/>
    </font>
    <font>
      <b/>
      <i/>
      <sz val="9"/>
      <color rgb="FFC00000"/>
      <name val="Arial"/>
      <family val="2"/>
    </font>
    <font>
      <i/>
      <sz val="11"/>
      <color rgb="FFC00000"/>
      <name val="Arial"/>
      <family val="2"/>
    </font>
    <font>
      <sz val="11"/>
      <color theme="10"/>
      <name val="Arial"/>
      <family val="2"/>
    </font>
    <font>
      <sz val="9"/>
      <color rgb="FFC00000"/>
      <name val="Arial"/>
      <family val="2"/>
    </font>
    <font>
      <sz val="10"/>
      <color theme="1" tint="0.249977111117893"/>
      <name val="Arial"/>
      <family val="2"/>
    </font>
  </fonts>
  <fills count="4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39994506668294322"/>
        <bgColor indexed="64"/>
      </patternFill>
    </fill>
    <fill>
      <patternFill patternType="solid">
        <fgColor rgb="FFFDE9D9"/>
        <bgColor indexed="64"/>
      </patternFill>
    </fill>
    <fill>
      <patternFill patternType="solid">
        <fgColor rgb="FFCCECFF"/>
        <bgColor indexed="64"/>
      </patternFill>
    </fill>
    <fill>
      <patternFill patternType="solid">
        <fgColor theme="9" tint="0.79995117038483843"/>
        <bgColor indexed="64"/>
      </patternFill>
    </fill>
    <fill>
      <patternFill patternType="solid">
        <fgColor theme="6" tint="0.59999389629810485"/>
        <bgColor indexed="64"/>
      </patternFill>
    </fill>
    <fill>
      <patternFill patternType="solid">
        <fgColor theme="4" tint="0.39994506668294322"/>
        <bgColor indexed="64"/>
      </patternFill>
    </fill>
    <fill>
      <patternFill patternType="solid">
        <fgColor theme="5" tint="0.59999389629810485"/>
        <bgColor indexed="64"/>
      </patternFill>
    </fill>
    <fill>
      <patternFill patternType="solid">
        <fgColor theme="7" tint="0.39994506668294322"/>
        <bgColor indexed="64"/>
      </patternFill>
    </fill>
    <fill>
      <patternFill patternType="solid">
        <fgColor theme="9" tint="0.39994506668294322"/>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4" tint="0.79995117038483843"/>
        <bgColor indexed="64"/>
      </patternFill>
    </fill>
    <fill>
      <patternFill patternType="solid">
        <fgColor theme="7" tint="0.59999389629810485"/>
        <bgColor indexed="64"/>
      </patternFill>
    </fill>
    <fill>
      <patternFill patternType="solid">
        <fgColor theme="8" tint="0.79995117038483843"/>
        <bgColor indexed="64"/>
      </patternFill>
    </fill>
    <fill>
      <patternFill patternType="solid">
        <fgColor rgb="FFFFC7CE"/>
        <bgColor indexed="64"/>
      </patternFill>
    </fill>
    <fill>
      <patternFill patternType="solid">
        <fgColor theme="7" tint="0.79995117038483843"/>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43"/>
        <bgColor indexed="64"/>
      </patternFill>
    </fill>
    <fill>
      <patternFill patternType="solid">
        <fgColor rgb="FFBFBFB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5FBFF"/>
        <bgColor indexed="64"/>
      </patternFill>
    </fill>
    <fill>
      <patternFill patternType="solid">
        <fgColor rgb="FFE1FFE1"/>
        <bgColor indexed="64"/>
      </patternFill>
    </fill>
    <fill>
      <patternFill patternType="solid">
        <fgColor theme="2" tint="-9.9978637043366805E-2"/>
        <bgColor indexed="64"/>
      </patternFill>
    </fill>
  </fills>
  <borders count="97">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top style="medium">
        <color indexed="64"/>
      </top>
      <bottom style="medium">
        <color auto="1"/>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4506668294322"/>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theme="1"/>
      </bottom>
      <diagonal/>
    </border>
    <border>
      <left/>
      <right/>
      <top style="thin">
        <color indexed="64"/>
      </top>
      <bottom style="thin">
        <color theme="1"/>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top style="thin">
        <color theme="1"/>
      </top>
      <bottom style="thin">
        <color theme="1"/>
      </bottom>
      <diagonal/>
    </border>
    <border>
      <left/>
      <right style="medium">
        <color indexed="64"/>
      </right>
      <top style="thin">
        <color theme="1"/>
      </top>
      <bottom style="thin">
        <color theme="1"/>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thin">
        <color indexed="8"/>
      </right>
      <top/>
      <bottom style="thin">
        <color indexed="64"/>
      </bottom>
      <diagonal/>
    </border>
    <border>
      <left/>
      <right style="thin">
        <color auto="1"/>
      </right>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theme="1"/>
      </left>
      <right/>
      <top style="thin">
        <color theme="1"/>
      </top>
      <bottom/>
      <diagonal/>
    </border>
    <border>
      <left/>
      <right/>
      <top style="thin">
        <color theme="1"/>
      </top>
      <bottom/>
      <diagonal/>
    </border>
    <border>
      <left/>
      <right style="medium">
        <color indexed="64"/>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thin">
        <color theme="1"/>
      </bottom>
      <diagonal/>
    </border>
    <border>
      <left/>
      <right style="thin">
        <color indexed="64"/>
      </right>
      <top style="thin">
        <color auto="1"/>
      </top>
      <bottom style="thin">
        <color theme="1"/>
      </bottom>
      <diagonal/>
    </border>
  </borders>
  <cellStyleXfs count="644">
    <xf numFmtId="0" fontId="0" fillId="0" borderId="0"/>
    <xf numFmtId="0" fontId="18" fillId="0" borderId="0" applyNumberFormat="0" applyBorder="0"/>
    <xf numFmtId="0" fontId="19" fillId="0" borderId="0" applyBorder="0" applyAlignment="0"/>
    <xf numFmtId="0" fontId="20" fillId="0" borderId="0" applyFill="0" applyBorder="0" applyAlignment="0"/>
    <xf numFmtId="0" fontId="36" fillId="0" borderId="0"/>
    <xf numFmtId="0" fontId="21" fillId="0" borderId="0" applyNumberFormat="0" applyFill="0" applyBorder="0">
      <alignment horizontal="left"/>
    </xf>
    <xf numFmtId="0" fontId="16" fillId="0" borderId="0"/>
    <xf numFmtId="0" fontId="17" fillId="0" borderId="0"/>
    <xf numFmtId="44" fontId="17" fillId="0" borderId="0" applyFont="0" applyFill="0" applyBorder="0" applyAlignment="0" applyProtection="0"/>
    <xf numFmtId="0" fontId="17" fillId="0" borderId="0"/>
    <xf numFmtId="0" fontId="15"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47" fillId="0" borderId="0">
      <alignment horizontal="left" vertical="center"/>
    </xf>
    <xf numFmtId="0" fontId="17" fillId="0" borderId="0"/>
    <xf numFmtId="0" fontId="17" fillId="0" borderId="0"/>
    <xf numFmtId="0" fontId="43" fillId="0" borderId="0"/>
    <xf numFmtId="0" fontId="14" fillId="0" borderId="0"/>
    <xf numFmtId="0" fontId="14" fillId="0" borderId="0"/>
    <xf numFmtId="0" fontId="17" fillId="0" borderId="0"/>
    <xf numFmtId="0" fontId="13" fillId="0" borderId="0"/>
    <xf numFmtId="0" fontId="13" fillId="0" borderId="0"/>
    <xf numFmtId="0" fontId="13" fillId="0" borderId="0"/>
    <xf numFmtId="0" fontId="17" fillId="0" borderId="0"/>
    <xf numFmtId="0" fontId="47" fillId="0" borderId="0">
      <alignment horizontal="left" vertical="center"/>
    </xf>
    <xf numFmtId="0" fontId="17" fillId="0" borderId="0"/>
    <xf numFmtId="0" fontId="17" fillId="0" borderId="0"/>
    <xf numFmtId="0" fontId="17" fillId="0" borderId="0"/>
    <xf numFmtId="44" fontId="17" fillId="0" borderId="0" applyFont="0" applyFill="0" applyBorder="0" applyAlignment="0" applyProtection="0"/>
    <xf numFmtId="0" fontId="12" fillId="0" borderId="0"/>
    <xf numFmtId="0" fontId="12" fillId="0" borderId="0"/>
    <xf numFmtId="0" fontId="12" fillId="0" borderId="0"/>
    <xf numFmtId="0" fontId="50" fillId="0" borderId="0" applyNumberFormat="0" applyFill="0" applyBorder="0" applyAlignment="0" applyProtection="0"/>
    <xf numFmtId="0" fontId="11" fillId="0" borderId="0"/>
    <xf numFmtId="43" fontId="11" fillId="0" borderId="0" applyFont="0" applyFill="0" applyBorder="0" applyAlignment="0" applyProtection="0"/>
    <xf numFmtId="0" fontId="52" fillId="0" borderId="0" applyNumberFormat="0" applyFill="0" applyBorder="0" applyAlignment="0" applyProtection="0"/>
    <xf numFmtId="0" fontId="10" fillId="0" borderId="0"/>
    <xf numFmtId="0" fontId="10" fillId="0" borderId="0"/>
    <xf numFmtId="0" fontId="47" fillId="9" borderId="52">
      <alignment horizontal="left" vertical="center" wrapText="1"/>
    </xf>
    <xf numFmtId="0" fontId="47" fillId="7" borderId="52" applyNumberFormat="0">
      <alignment horizontal="left" vertical="top" wrapText="1"/>
      <protection locked="0"/>
    </xf>
    <xf numFmtId="0" fontId="56" fillId="0" borderId="0" applyNumberFormat="0" applyFill="0" applyBorder="0" applyAlignment="0" applyProtection="0"/>
    <xf numFmtId="0" fontId="9" fillId="0" borderId="0"/>
    <xf numFmtId="0" fontId="50" fillId="0" borderId="0" applyNumberFormat="0" applyFill="0" applyBorder="0" applyAlignment="0" applyProtection="0">
      <alignment vertical="top"/>
      <protection locked="0"/>
    </xf>
    <xf numFmtId="0" fontId="47" fillId="0" borderId="0">
      <alignment horizontal="left" vertical="center"/>
    </xf>
    <xf numFmtId="0" fontId="51" fillId="0" borderId="0" applyNumberFormat="0" applyFill="0" applyBorder="0" applyProtection="0">
      <alignment horizontal="center" vertical="center"/>
    </xf>
    <xf numFmtId="0" fontId="17" fillId="0" borderId="0"/>
    <xf numFmtId="0" fontId="47" fillId="7" borderId="52" applyNumberFormat="0">
      <alignment horizontal="left" vertical="top" wrapText="1"/>
      <protection locked="0"/>
    </xf>
    <xf numFmtId="0" fontId="47" fillId="9" borderId="52">
      <alignment horizontal="left" vertical="center" wrapText="1"/>
    </xf>
    <xf numFmtId="0" fontId="8" fillId="0" borderId="0"/>
    <xf numFmtId="0" fontId="48" fillId="9" borderId="52">
      <alignment horizontal="left" vertical="center" wrapText="1"/>
    </xf>
    <xf numFmtId="44" fontId="8" fillId="0" borderId="0" applyFont="0" applyFill="0" applyBorder="0" applyAlignment="0" applyProtection="0"/>
    <xf numFmtId="0" fontId="75" fillId="0" borderId="0"/>
    <xf numFmtId="44" fontId="17" fillId="0" borderId="0" applyFont="0" applyFill="0" applyBorder="0" applyAlignment="0" applyProtection="0"/>
    <xf numFmtId="0" fontId="7" fillId="0" borderId="0"/>
    <xf numFmtId="44" fontId="32" fillId="0" borderId="0" applyFont="0" applyFill="0" applyBorder="0" applyAlignment="0" applyProtection="0"/>
    <xf numFmtId="0" fontId="7" fillId="23" borderId="0" applyNumberFormat="0" applyBorder="0" applyAlignment="0" applyProtection="0"/>
    <xf numFmtId="0" fontId="32" fillId="0" borderId="0">
      <alignment vertical="top"/>
    </xf>
    <xf numFmtId="0" fontId="7" fillId="0" borderId="0"/>
    <xf numFmtId="0" fontId="7" fillId="0" borderId="0"/>
    <xf numFmtId="0" fontId="17" fillId="0" borderId="0"/>
    <xf numFmtId="0" fontId="7" fillId="0" borderId="0"/>
    <xf numFmtId="0" fontId="7" fillId="0" borderId="0"/>
    <xf numFmtId="44" fontId="17" fillId="0" borderId="0" applyFont="0" applyFill="0" applyBorder="0" applyAlignment="0" applyProtection="0"/>
    <xf numFmtId="0" fontId="32" fillId="0" borderId="0"/>
    <xf numFmtId="0" fontId="7"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22" borderId="0" applyNumberFormat="0" applyBorder="0" applyAlignment="0" applyProtection="0"/>
    <xf numFmtId="0" fontId="7" fillId="0" borderId="0"/>
    <xf numFmtId="0" fontId="7" fillId="22" borderId="0" applyNumberFormat="0" applyBorder="0" applyAlignment="0" applyProtection="0"/>
    <xf numFmtId="44" fontId="7" fillId="0" borderId="0" applyFont="0" applyFill="0" applyBorder="0" applyAlignment="0" applyProtection="0"/>
    <xf numFmtId="0" fontId="7" fillId="0" borderId="0"/>
    <xf numFmtId="0" fontId="69" fillId="0" borderId="63" applyNumberFormat="0" applyFill="0" applyAlignment="0" applyProtection="0"/>
    <xf numFmtId="0" fontId="7" fillId="22" borderId="0" applyNumberFormat="0" applyBorder="0" applyAlignment="0" applyProtection="0"/>
    <xf numFmtId="0" fontId="17" fillId="0" borderId="0"/>
    <xf numFmtId="0" fontId="7" fillId="0" borderId="0"/>
    <xf numFmtId="0" fontId="7" fillId="0" borderId="0"/>
    <xf numFmtId="0" fontId="7" fillId="0" borderId="0"/>
    <xf numFmtId="0" fontId="7" fillId="0" borderId="0"/>
    <xf numFmtId="44" fontId="17" fillId="0" borderId="0" applyFont="0" applyFill="0" applyBorder="0" applyAlignment="0" applyProtection="0"/>
    <xf numFmtId="0" fontId="7" fillId="0" borderId="0"/>
    <xf numFmtId="0" fontId="7" fillId="0" borderId="0"/>
    <xf numFmtId="0" fontId="74" fillId="12" borderId="0" applyNumberFormat="0" applyBorder="0" applyAlignment="0" applyProtection="0"/>
    <xf numFmtId="0" fontId="7" fillId="15" borderId="0" applyNumberFormat="0" applyBorder="0" applyAlignment="0" applyProtection="0"/>
    <xf numFmtId="0" fontId="7" fillId="0" borderId="0"/>
    <xf numFmtId="0" fontId="7" fillId="0" borderId="0"/>
    <xf numFmtId="0" fontId="7" fillId="21" borderId="0" applyNumberFormat="0" applyBorder="0" applyAlignment="0" applyProtection="0"/>
    <xf numFmtId="0" fontId="7" fillId="6" borderId="0" applyNumberFormat="0" applyBorder="0" applyAlignment="0" applyProtection="0"/>
    <xf numFmtId="0" fontId="7" fillId="0" borderId="0"/>
    <xf numFmtId="0" fontId="7" fillId="21" borderId="0" applyNumberFormat="0" applyBorder="0" applyAlignment="0" applyProtection="0"/>
    <xf numFmtId="44" fontId="17" fillId="0" borderId="0" applyFont="0" applyFill="0" applyBorder="0" applyAlignment="0" applyProtection="0"/>
    <xf numFmtId="0" fontId="7" fillId="25" borderId="0" applyNumberFormat="0" applyBorder="0" applyAlignment="0" applyProtection="0"/>
    <xf numFmtId="0" fontId="7" fillId="0" borderId="0"/>
    <xf numFmtId="0" fontId="32" fillId="0" borderId="0"/>
    <xf numFmtId="0" fontId="77" fillId="0" borderId="0"/>
    <xf numFmtId="0" fontId="7" fillId="23" borderId="0" applyNumberFormat="0" applyBorder="0" applyAlignment="0" applyProtection="0"/>
    <xf numFmtId="0" fontId="74" fillId="28" borderId="0" applyNumberFormat="0" applyBorder="0" applyAlignment="0" applyProtection="0"/>
    <xf numFmtId="0" fontId="17" fillId="0" borderId="0"/>
    <xf numFmtId="0" fontId="7" fillId="21" borderId="0" applyNumberFormat="0" applyBorder="0" applyAlignment="0" applyProtection="0"/>
    <xf numFmtId="43" fontId="7" fillId="0" borderId="0" applyFont="0" applyFill="0" applyBorder="0" applyAlignment="0" applyProtection="0"/>
    <xf numFmtId="0" fontId="7" fillId="0" borderId="0"/>
    <xf numFmtId="0" fontId="32" fillId="0" borderId="0">
      <alignment vertical="top"/>
    </xf>
    <xf numFmtId="0" fontId="7" fillId="23" borderId="0" applyNumberFormat="0" applyBorder="0" applyAlignment="0" applyProtection="0"/>
    <xf numFmtId="0" fontId="7" fillId="23" borderId="0" applyNumberFormat="0" applyBorder="0" applyAlignment="0" applyProtection="0"/>
    <xf numFmtId="0" fontId="7" fillId="0" borderId="0"/>
    <xf numFmtId="0" fontId="7" fillId="23" borderId="0" applyNumberFormat="0" applyBorder="0" applyAlignment="0" applyProtection="0"/>
    <xf numFmtId="0" fontId="7" fillId="23" borderId="0" applyNumberFormat="0" applyBorder="0" applyAlignment="0" applyProtection="0"/>
    <xf numFmtId="0" fontId="77" fillId="0" borderId="0"/>
    <xf numFmtId="0" fontId="7" fillId="21" borderId="0" applyNumberFormat="0" applyBorder="0" applyAlignment="0" applyProtection="0"/>
    <xf numFmtId="0" fontId="17" fillId="0" borderId="0"/>
    <xf numFmtId="0" fontId="7" fillId="21" borderId="0" applyNumberFormat="0" applyBorder="0" applyAlignment="0" applyProtection="0"/>
    <xf numFmtId="0" fontId="7" fillId="21" borderId="0" applyNumberFormat="0" applyBorder="0" applyAlignment="0" applyProtection="0"/>
    <xf numFmtId="0" fontId="7" fillId="0" borderId="0"/>
    <xf numFmtId="0" fontId="7" fillId="21" borderId="0" applyNumberFormat="0" applyBorder="0" applyAlignment="0" applyProtection="0"/>
    <xf numFmtId="0" fontId="7" fillId="11" borderId="0" applyNumberFormat="0" applyBorder="0" applyAlignment="0" applyProtection="0"/>
    <xf numFmtId="0" fontId="7" fillId="0" borderId="0"/>
    <xf numFmtId="0" fontId="17" fillId="0" borderId="0"/>
    <xf numFmtId="0" fontId="7" fillId="22" borderId="0" applyNumberFormat="0" applyBorder="0" applyAlignment="0" applyProtection="0"/>
    <xf numFmtId="0" fontId="7" fillId="0" borderId="0"/>
    <xf numFmtId="0" fontId="7" fillId="22" borderId="0" applyNumberFormat="0" applyBorder="0" applyAlignment="0" applyProtection="0"/>
    <xf numFmtId="0" fontId="7" fillId="0" borderId="0"/>
    <xf numFmtId="0" fontId="7" fillId="22" borderId="0" applyNumberFormat="0" applyBorder="0" applyAlignment="0" applyProtection="0"/>
    <xf numFmtId="0" fontId="7" fillId="0" borderId="0"/>
    <xf numFmtId="0" fontId="69" fillId="0" borderId="0" applyNumberFormat="0" applyFill="0" applyBorder="0" applyAlignment="0" applyProtection="0"/>
    <xf numFmtId="0" fontId="7" fillId="0" borderId="0"/>
    <xf numFmtId="0" fontId="7" fillId="22" borderId="0" applyNumberFormat="0" applyBorder="0" applyAlignment="0" applyProtection="0"/>
    <xf numFmtId="0" fontId="7" fillId="0" borderId="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43" fontId="7" fillId="0" borderId="0" applyFont="0" applyFill="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2" fillId="32" borderId="59" applyNumberFormat="0" applyAlignment="0" applyProtection="0"/>
    <xf numFmtId="0" fontId="7" fillId="0" borderId="0"/>
    <xf numFmtId="0" fontId="7" fillId="15" borderId="0" applyNumberFormat="0" applyBorder="0" applyAlignment="0" applyProtection="0"/>
    <xf numFmtId="0" fontId="7" fillId="15" borderId="0" applyNumberFormat="0" applyBorder="0" applyAlignment="0" applyProtection="0"/>
    <xf numFmtId="0" fontId="7" fillId="0" borderId="0"/>
    <xf numFmtId="0" fontId="17" fillId="0" borderId="0"/>
    <xf numFmtId="0" fontId="7" fillId="1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0" borderId="0"/>
    <xf numFmtId="0" fontId="7" fillId="11" borderId="0" applyNumberFormat="0" applyBorder="0" applyAlignment="0" applyProtection="0"/>
    <xf numFmtId="0" fontId="7" fillId="11" borderId="0" applyNumberFormat="0" applyBorder="0" applyAlignment="0" applyProtection="0"/>
    <xf numFmtId="43" fontId="7" fillId="0" borderId="0" applyFont="0" applyFill="0" applyBorder="0" applyAlignment="0" applyProtection="0"/>
    <xf numFmtId="0" fontId="7" fillId="11" borderId="0" applyNumberFormat="0" applyBorder="0" applyAlignment="0" applyProtection="0"/>
    <xf numFmtId="0" fontId="7" fillId="18" borderId="0" applyNumberFormat="0" applyBorder="0" applyAlignment="0" applyProtection="0"/>
    <xf numFmtId="0" fontId="7" fillId="0" borderId="0"/>
    <xf numFmtId="0" fontId="7" fillId="18" borderId="0" applyNumberFormat="0" applyBorder="0" applyAlignment="0" applyProtection="0"/>
    <xf numFmtId="0" fontId="7" fillId="0" borderId="0"/>
    <xf numFmtId="43" fontId="79" fillId="0" borderId="0" applyFont="0" applyFill="0" applyBorder="0" applyAlignment="0" applyProtection="0"/>
    <xf numFmtId="0" fontId="7" fillId="18" borderId="0" applyNumberFormat="0" applyBorder="0" applyAlignment="0" applyProtection="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0" borderId="0"/>
    <xf numFmtId="0" fontId="7" fillId="1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44" fontId="7" fillId="0" borderId="0" applyFon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0" borderId="0"/>
    <xf numFmtId="0" fontId="7" fillId="16" borderId="0" applyNumberFormat="0" applyBorder="0" applyAlignment="0" applyProtection="0"/>
    <xf numFmtId="0" fontId="7"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4" borderId="0" applyNumberFormat="0" applyBorder="0" applyAlignment="0" applyProtection="0"/>
    <xf numFmtId="0" fontId="7" fillId="6"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0" borderId="0"/>
    <xf numFmtId="0" fontId="7" fillId="0" borderId="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0" borderId="0"/>
    <xf numFmtId="0" fontId="7" fillId="5" borderId="0" applyNumberFormat="0" applyBorder="0" applyAlignment="0" applyProtection="0"/>
    <xf numFmtId="0" fontId="7" fillId="5"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5" borderId="0" applyNumberFormat="0" applyBorder="0" applyAlignment="0" applyProtection="0"/>
    <xf numFmtId="0" fontId="7" fillId="5" borderId="0" applyNumberFormat="0" applyBorder="0" applyAlignment="0" applyProtection="0"/>
    <xf numFmtId="44" fontId="17" fillId="0" borderId="0" applyFont="0" applyFill="0" applyBorder="0" applyAlignment="0" applyProtection="0"/>
    <xf numFmtId="0" fontId="7" fillId="0" borderId="0"/>
    <xf numFmtId="44" fontId="7" fillId="0" borderId="0" applyFont="0" applyFill="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44" fontId="17" fillId="0" borderId="0" applyFont="0" applyFill="0" applyBorder="0" applyAlignment="0" applyProtection="0"/>
    <xf numFmtId="0" fontId="7" fillId="6" borderId="0" applyNumberFormat="0" applyBorder="0" applyAlignment="0" applyProtection="0"/>
    <xf numFmtId="0" fontId="7" fillId="6" borderId="0" applyNumberFormat="0" applyBorder="0" applyAlignment="0" applyProtection="0"/>
    <xf numFmtId="44" fontId="7" fillId="0" borderId="0" applyFont="0" applyFill="0" applyBorder="0" applyAlignment="0" applyProtection="0"/>
    <xf numFmtId="0" fontId="7" fillId="6" borderId="0" applyNumberFormat="0" applyBorder="0" applyAlignment="0" applyProtection="0"/>
    <xf numFmtId="0" fontId="7" fillId="0" borderId="0"/>
    <xf numFmtId="0" fontId="74" fillId="17" borderId="0" applyNumberFormat="0" applyBorder="0" applyAlignment="0" applyProtection="0"/>
    <xf numFmtId="0" fontId="7" fillId="0" borderId="0"/>
    <xf numFmtId="0" fontId="74" fillId="19" borderId="0" applyNumberFormat="0" applyBorder="0" applyAlignment="0" applyProtection="0"/>
    <xf numFmtId="0" fontId="74" fillId="20" borderId="0" applyNumberFormat="0" applyBorder="0" applyAlignment="0" applyProtection="0"/>
    <xf numFmtId="0" fontId="74" fillId="31"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 fillId="0" borderId="0"/>
    <xf numFmtId="0" fontId="70" fillId="26" borderId="0" applyNumberFormat="0" applyBorder="0" applyAlignment="0" applyProtection="0"/>
    <xf numFmtId="43" fontId="32" fillId="0" borderId="0" applyFont="0" applyFill="0" applyBorder="0" applyAlignment="0" applyProtection="0"/>
    <xf numFmtId="0" fontId="7" fillId="0" borderId="0"/>
    <xf numFmtId="44"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4" fontId="79"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4" fontId="1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32" fillId="0" borderId="0" applyFont="0" applyFill="0" applyBorder="0" applyAlignment="0" applyProtection="0"/>
    <xf numFmtId="0" fontId="7" fillId="0" borderId="0"/>
    <xf numFmtId="43" fontId="17" fillId="0" borderId="0" applyFont="0" applyFill="0" applyBorder="0" applyAlignment="0" applyProtection="0"/>
    <xf numFmtId="43" fontId="3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17" fillId="0" borderId="0" applyFont="0" applyFill="0" applyBorder="0" applyAlignment="0" applyProtection="0"/>
    <xf numFmtId="0" fontId="32" fillId="0" borderId="0">
      <alignment vertical="top"/>
    </xf>
    <xf numFmtId="0" fontId="7" fillId="0" borderId="0"/>
    <xf numFmtId="44" fontId="17" fillId="0" borderId="0" applyFont="0" applyFill="0" applyBorder="0" applyAlignment="0" applyProtection="0"/>
    <xf numFmtId="0" fontId="7" fillId="0" borderId="0"/>
    <xf numFmtId="0" fontId="7" fillId="0" borderId="0"/>
    <xf numFmtId="44" fontId="32" fillId="0" borderId="0" applyFont="0" applyFill="0" applyBorder="0" applyAlignment="0" applyProtection="0"/>
    <xf numFmtId="44" fontId="17" fillId="0" borderId="0" applyFont="0" applyFill="0" applyBorder="0" applyAlignment="0" applyProtection="0"/>
    <xf numFmtId="0" fontId="7" fillId="0" borderId="0"/>
    <xf numFmtId="0" fontId="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7" fillId="0" borderId="0"/>
    <xf numFmtId="0" fontId="7" fillId="0" borderId="0"/>
    <xf numFmtId="0" fontId="7" fillId="0" borderId="0"/>
    <xf numFmtId="44" fontId="79" fillId="0" borderId="0" applyFont="0" applyFill="0" applyBorder="0" applyAlignment="0" applyProtection="0"/>
    <xf numFmtId="44" fontId="32" fillId="0" borderId="0" applyFont="0" applyFill="0" applyBorder="0" applyAlignment="0" applyProtection="0"/>
    <xf numFmtId="0" fontId="7" fillId="0" borderId="0"/>
    <xf numFmtId="0" fontId="7" fillId="0" borderId="0"/>
    <xf numFmtId="44" fontId="17" fillId="0" borderId="0" applyFont="0" applyFill="0" applyBorder="0" applyAlignment="0" applyProtection="0"/>
    <xf numFmtId="0" fontId="7" fillId="0" borderId="0"/>
    <xf numFmtId="0" fontId="7" fillId="0" borderId="0"/>
    <xf numFmtId="44" fontId="17" fillId="0" borderId="0" applyFont="0" applyFill="0" applyBorder="0" applyAlignment="0" applyProtection="0"/>
    <xf numFmtId="0" fontId="7" fillId="0" borderId="0"/>
    <xf numFmtId="0" fontId="7" fillId="0" borderId="0"/>
    <xf numFmtId="0" fontId="7" fillId="0" borderId="0"/>
    <xf numFmtId="44" fontId="32" fillId="0" borderId="0" applyFont="0" applyFill="0" applyBorder="0" applyAlignment="0" applyProtection="0">
      <alignment vertical="top"/>
    </xf>
    <xf numFmtId="0" fontId="7" fillId="0" borderId="0"/>
    <xf numFmtId="44" fontId="32" fillId="0" borderId="0" applyFont="0" applyFill="0" applyBorder="0" applyAlignment="0" applyProtection="0">
      <alignment vertical="top"/>
    </xf>
    <xf numFmtId="44" fontId="17" fillId="0" borderId="0" applyFont="0" applyFill="0" applyBorder="0" applyAlignment="0" applyProtection="0"/>
    <xf numFmtId="44" fontId="32" fillId="0" borderId="0" applyFont="0" applyFill="0" applyBorder="0" applyAlignment="0" applyProtection="0">
      <alignment vertical="top"/>
    </xf>
    <xf numFmtId="44" fontId="1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9"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17" fillId="0" borderId="0" applyFont="0" applyFill="0" applyBorder="0" applyAlignment="0" applyProtection="0"/>
    <xf numFmtId="44" fontId="17" fillId="0" borderId="0" applyFont="0" applyFill="0" applyBorder="0" applyAlignment="0" applyProtection="0"/>
    <xf numFmtId="44" fontId="32"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32" fillId="0" borderId="0" applyFont="0" applyFill="0" applyBorder="0" applyAlignment="0" applyProtection="0"/>
    <xf numFmtId="44" fontId="17" fillId="0" borderId="0" applyFont="0" applyFill="0" applyBorder="0" applyAlignment="0" applyProtection="0"/>
    <xf numFmtId="0" fontId="7" fillId="0" borderId="0"/>
    <xf numFmtId="44" fontId="17" fillId="0" borderId="0" applyFont="0" applyFill="0" applyBorder="0" applyAlignment="0" applyProtection="0"/>
    <xf numFmtId="0" fontId="32" fillId="0" borderId="0"/>
    <xf numFmtId="0" fontId="50" fillId="0" borderId="0" applyNumberFormat="0" applyFill="0" applyBorder="0" applyAlignment="0" applyProtection="0"/>
    <xf numFmtId="44" fontId="17" fillId="0" borderId="0" applyFont="0" applyFill="0" applyBorder="0" applyAlignment="0" applyProtection="0"/>
    <xf numFmtId="0" fontId="7" fillId="0" borderId="0"/>
    <xf numFmtId="0" fontId="50" fillId="0" borderId="0" applyNumberFormat="0" applyFill="0" applyBorder="0" applyAlignment="0" applyProtection="0">
      <alignment vertical="top"/>
      <protection locked="0"/>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xf numFmtId="0" fontId="67" fillId="0" borderId="57" applyNumberFormat="0" applyFill="0" applyAlignment="0" applyProtection="0"/>
    <xf numFmtId="0" fontId="7" fillId="0" borderId="0"/>
    <xf numFmtId="0" fontId="7" fillId="0" borderId="0"/>
    <xf numFmtId="0" fontId="68" fillId="0" borderId="58" applyNumberFormat="0" applyFill="0" applyAlignment="0" applyProtection="0"/>
    <xf numFmtId="0" fontId="7" fillId="0" borderId="0"/>
    <xf numFmtId="0" fontId="80" fillId="0" borderId="0" applyNumberFormat="0" applyFill="0" applyBorder="0" applyAlignment="0" applyProtection="0">
      <alignment vertical="top"/>
      <protection locked="0"/>
    </xf>
    <xf numFmtId="0" fontId="7" fillId="0" borderId="0"/>
    <xf numFmtId="0" fontId="32" fillId="0" borderId="0"/>
    <xf numFmtId="0" fontId="47" fillId="0" borderId="0"/>
    <xf numFmtId="0" fontId="7"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2" fillId="0" borderId="0"/>
    <xf numFmtId="0" fontId="7" fillId="0" borderId="0"/>
    <xf numFmtId="0" fontId="78" fillId="0" borderId="0"/>
    <xf numFmtId="0" fontId="7" fillId="0" borderId="0"/>
    <xf numFmtId="0" fontId="32" fillId="0" borderId="0"/>
    <xf numFmtId="168" fontId="76" fillId="0" borderId="0"/>
    <xf numFmtId="0" fontId="17" fillId="0" borderId="0"/>
    <xf numFmtId="0" fontId="7" fillId="0" borderId="0"/>
    <xf numFmtId="0" fontId="7" fillId="0" borderId="0"/>
    <xf numFmtId="0" fontId="17" fillId="0" borderId="0"/>
    <xf numFmtId="0" fontId="17" fillId="0" borderId="0"/>
    <xf numFmtId="0" fontId="7" fillId="0" borderId="0"/>
    <xf numFmtId="0" fontId="7" fillId="0" borderId="0"/>
    <xf numFmtId="0" fontId="17" fillId="0" borderId="0"/>
    <xf numFmtId="0" fontId="7" fillId="0" borderId="0"/>
    <xf numFmtId="0" fontId="81" fillId="0" borderId="0"/>
    <xf numFmtId="0" fontId="7" fillId="0" borderId="0"/>
    <xf numFmtId="0" fontId="7" fillId="0" borderId="0"/>
    <xf numFmtId="0" fontId="77" fillId="0" borderId="0"/>
    <xf numFmtId="0" fontId="7" fillId="0" borderId="0"/>
    <xf numFmtId="0" fontId="32" fillId="0" borderId="0"/>
    <xf numFmtId="0" fontId="32" fillId="0" borderId="0"/>
    <xf numFmtId="0" fontId="7" fillId="0" borderId="0"/>
    <xf numFmtId="0" fontId="32"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8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2" fillId="0" borderId="0"/>
    <xf numFmtId="0" fontId="32" fillId="0" borderId="0">
      <alignment vertical="top"/>
    </xf>
    <xf numFmtId="0" fontId="7" fillId="0" borderId="0"/>
    <xf numFmtId="0" fontId="7" fillId="0" borderId="0"/>
    <xf numFmtId="0" fontId="7" fillId="0" borderId="0"/>
    <xf numFmtId="0" fontId="7" fillId="0" borderId="0"/>
    <xf numFmtId="0" fontId="7" fillId="0" borderId="0"/>
    <xf numFmtId="0" fontId="32" fillId="0" borderId="0"/>
    <xf numFmtId="0" fontId="7" fillId="0" borderId="0"/>
    <xf numFmtId="0" fontId="82"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xf numFmtId="0" fontId="77" fillId="0" borderId="0"/>
    <xf numFmtId="0" fontId="7" fillId="0" borderId="0"/>
    <xf numFmtId="0" fontId="32" fillId="0" borderId="0">
      <alignment vertical="top"/>
    </xf>
    <xf numFmtId="0" fontId="7" fillId="0" borderId="0"/>
    <xf numFmtId="0" fontId="7" fillId="0" borderId="0"/>
    <xf numFmtId="0" fontId="7" fillId="0" borderId="0"/>
    <xf numFmtId="0" fontId="77" fillId="0" borderId="0"/>
    <xf numFmtId="0" fontId="7" fillId="0" borderId="0"/>
    <xf numFmtId="0" fontId="32"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32"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2" fillId="0" borderId="0">
      <alignment vertical="top"/>
    </xf>
    <xf numFmtId="0" fontId="32" fillId="0" borderId="0">
      <alignment vertical="top"/>
    </xf>
    <xf numFmtId="0" fontId="32" fillId="0" borderId="0"/>
    <xf numFmtId="0" fontId="32" fillId="0" borderId="0">
      <alignment vertical="top"/>
    </xf>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9"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9"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 fillId="7" borderId="61" applyNumberFormat="0" applyFont="0" applyAlignment="0" applyProtection="0"/>
    <xf numFmtId="0" fontId="71" fillId="32" borderId="6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0" fontId="83" fillId="0" borderId="0" applyNumberFormat="0" applyFill="0" applyBorder="0" applyAlignment="0" applyProtection="0"/>
    <xf numFmtId="0" fontId="73" fillId="0" borderId="62" applyNumberFormat="0" applyFill="0" applyAlignment="0" applyProtection="0"/>
    <xf numFmtId="44" fontId="75" fillId="0" borderId="0" applyFont="0" applyFill="0" applyBorder="0" applyAlignment="0" applyProtection="0"/>
    <xf numFmtId="0" fontId="84" fillId="0" borderId="0" applyNumberFormat="0" applyFill="0" applyBorder="0" applyAlignment="0" applyProtection="0"/>
    <xf numFmtId="0" fontId="66" fillId="0" borderId="0"/>
    <xf numFmtId="0" fontId="7" fillId="0" borderId="0"/>
    <xf numFmtId="0" fontId="7" fillId="0" borderId="0"/>
    <xf numFmtId="43" fontId="17" fillId="0" borderId="0" applyFont="0" applyFill="0" applyBorder="0" applyAlignment="0" applyProtection="0"/>
    <xf numFmtId="0" fontId="17" fillId="0" borderId="0"/>
    <xf numFmtId="0" fontId="17" fillId="0" borderId="0"/>
    <xf numFmtId="0" fontId="47" fillId="0" borderId="0">
      <alignment horizontal="left" vertical="center"/>
    </xf>
    <xf numFmtId="0" fontId="17" fillId="0" borderId="0"/>
    <xf numFmtId="0" fontId="7" fillId="0" borderId="0"/>
    <xf numFmtId="0" fontId="7" fillId="0" borderId="0"/>
    <xf numFmtId="0" fontId="17" fillId="0" borderId="0"/>
    <xf numFmtId="0" fontId="7" fillId="0" borderId="0"/>
    <xf numFmtId="0" fontId="7" fillId="0" borderId="0"/>
    <xf numFmtId="0" fontId="7" fillId="0" borderId="0"/>
    <xf numFmtId="0" fontId="47" fillId="0" borderId="0">
      <alignment horizontal="left" vertical="center"/>
    </xf>
    <xf numFmtId="0" fontId="1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52" fillId="0" borderId="0" applyNumberFormat="0" applyFill="0" applyBorder="0" applyAlignment="0" applyProtection="0"/>
    <xf numFmtId="0" fontId="7" fillId="0" borderId="0"/>
    <xf numFmtId="0" fontId="7" fillId="0" borderId="0"/>
    <xf numFmtId="0" fontId="56" fillId="0" borderId="0" applyNumberFormat="0" applyFill="0" applyBorder="0" applyAlignment="0" applyProtection="0"/>
    <xf numFmtId="0" fontId="6" fillId="0" borderId="0"/>
    <xf numFmtId="0" fontId="5" fillId="0" borderId="0"/>
    <xf numFmtId="0" fontId="48" fillId="9" borderId="52">
      <alignment horizontal="left" vertical="center" wrapText="1"/>
    </xf>
    <xf numFmtId="0" fontId="47" fillId="9" borderId="52">
      <alignment horizontal="left" vertical="center" wrapText="1"/>
    </xf>
    <xf numFmtId="0" fontId="47" fillId="7" borderId="52" applyNumberFormat="0">
      <alignment horizontal="left" vertical="top" wrapText="1"/>
      <protection locked="0"/>
    </xf>
    <xf numFmtId="0" fontId="4" fillId="0" borderId="0"/>
    <xf numFmtId="0" fontId="95" fillId="10" borderId="52">
      <alignment horizontal="left" vertical="center" wrapText="1"/>
    </xf>
    <xf numFmtId="0" fontId="57" fillId="0" borderId="0" applyNumberFormat="0" applyFill="0" applyBorder="0" applyAlignment="0" applyProtection="0">
      <alignment horizontal="left" vertical="center"/>
    </xf>
    <xf numFmtId="0" fontId="111" fillId="0" borderId="0" applyNumberFormat="0" applyFill="0" applyBorder="0" applyAlignment="0" applyProtection="0"/>
    <xf numFmtId="0" fontId="3" fillId="0" borderId="0"/>
    <xf numFmtId="0" fontId="48" fillId="9" borderId="84">
      <alignment horizontal="left" vertical="center" wrapText="1"/>
    </xf>
    <xf numFmtId="0" fontId="47" fillId="9" borderId="84">
      <alignment horizontal="left" vertical="center" wrapText="1"/>
    </xf>
    <xf numFmtId="0" fontId="48" fillId="9" borderId="84">
      <alignment horizontal="left" vertical="center" wrapText="1"/>
    </xf>
    <xf numFmtId="0" fontId="47" fillId="9" borderId="84">
      <alignment horizontal="left" vertical="center" wrapText="1"/>
    </xf>
    <xf numFmtId="0" fontId="2" fillId="0" borderId="0"/>
  </cellStyleXfs>
  <cellXfs count="2046">
    <xf numFmtId="0" fontId="0" fillId="0" borderId="0" xfId="0"/>
    <xf numFmtId="0" fontId="27" fillId="0" borderId="0" xfId="4" applyFont="1"/>
    <xf numFmtId="0" fontId="17" fillId="0" borderId="0" xfId="4" applyFont="1"/>
    <xf numFmtId="0" fontId="17" fillId="0" borderId="0" xfId="11" applyFill="1"/>
    <xf numFmtId="0" fontId="17" fillId="0" borderId="0" xfId="11" applyFill="1" applyBorder="1"/>
    <xf numFmtId="0" fontId="23" fillId="0" borderId="0" xfId="11" applyFont="1" applyFill="1" applyBorder="1"/>
    <xf numFmtId="0" fontId="17" fillId="0" borderId="0" xfId="11" applyFont="1" applyFill="1" applyBorder="1"/>
    <xf numFmtId="0" fontId="25" fillId="0" borderId="0" xfId="11" applyFont="1" applyFill="1" applyBorder="1"/>
    <xf numFmtId="0" fontId="25" fillId="0" borderId="0" xfId="11" applyFont="1" applyFill="1" applyBorder="1" applyAlignment="1">
      <alignment vertical="center"/>
    </xf>
    <xf numFmtId="0" fontId="17" fillId="0" borderId="0" xfId="11" applyFont="1" applyFill="1"/>
    <xf numFmtId="0" fontId="17" fillId="0" borderId="0" xfId="11" applyFill="1" applyBorder="1" applyProtection="1"/>
    <xf numFmtId="0" fontId="49" fillId="0" borderId="0" xfId="24" applyFont="1" applyAlignment="1">
      <alignment vertical="top" wrapText="1"/>
    </xf>
    <xf numFmtId="0" fontId="47" fillId="0" borderId="0" xfId="42" applyFont="1"/>
    <xf numFmtId="0" fontId="10" fillId="0" borderId="0" xfId="42"/>
    <xf numFmtId="0" fontId="10" fillId="0" borderId="0" xfId="41"/>
    <xf numFmtId="0" fontId="38" fillId="0" borderId="0" xfId="41" applyFont="1"/>
    <xf numFmtId="0" fontId="42" fillId="0" borderId="0" xfId="46" applyFont="1"/>
    <xf numFmtId="0" fontId="63" fillId="0" borderId="0" xfId="46" applyFont="1" applyAlignment="1">
      <alignment horizontal="left" vertical="center"/>
    </xf>
    <xf numFmtId="0" fontId="38" fillId="0" borderId="0" xfId="46" applyFont="1"/>
    <xf numFmtId="0" fontId="63" fillId="0" borderId="0" xfId="46" applyFont="1" applyAlignment="1" applyProtection="1">
      <alignment horizontal="left" vertical="center"/>
      <protection locked="0"/>
    </xf>
    <xf numFmtId="0" fontId="47" fillId="0" borderId="0" xfId="48">
      <alignment horizontal="left" vertical="center"/>
    </xf>
    <xf numFmtId="0" fontId="63" fillId="0" borderId="0" xfId="46" applyFont="1" applyAlignment="1" applyProtection="1">
      <alignment horizontal="right" vertical="center"/>
      <protection locked="0"/>
    </xf>
    <xf numFmtId="0" fontId="38" fillId="0" borderId="0" xfId="48" applyFont="1">
      <alignment horizontal="left" vertical="center"/>
    </xf>
    <xf numFmtId="0" fontId="21" fillId="0" borderId="0" xfId="48" applyFont="1">
      <alignment horizontal="left" vertical="center"/>
    </xf>
    <xf numFmtId="0" fontId="42" fillId="0" borderId="0" xfId="48" applyFont="1">
      <alignment horizontal="left" vertical="center"/>
    </xf>
    <xf numFmtId="0" fontId="38" fillId="0" borderId="0" xfId="11" applyFont="1" applyAlignment="1">
      <alignment horizontal="left" vertical="center"/>
    </xf>
    <xf numFmtId="0" fontId="38" fillId="0" borderId="0" xfId="11" applyFont="1" applyAlignment="1">
      <alignment horizontal="left" vertical="top" wrapText="1"/>
    </xf>
    <xf numFmtId="0" fontId="21" fillId="0" borderId="0" xfId="4" applyFont="1" applyAlignment="1">
      <alignment vertical="top"/>
    </xf>
    <xf numFmtId="0" fontId="64" fillId="0" borderId="0" xfId="53" applyFont="1"/>
    <xf numFmtId="0" fontId="42" fillId="0" borderId="0" xfId="0" applyFont="1"/>
    <xf numFmtId="0" fontId="42" fillId="0" borderId="0" xfId="0" applyFont="1" applyProtection="1">
      <protection locked="0"/>
    </xf>
    <xf numFmtId="0" fontId="42" fillId="4" borderId="0" xfId="0" applyFont="1" applyFill="1"/>
    <xf numFmtId="0" fontId="47" fillId="0" borderId="0" xfId="48" applyFont="1">
      <alignment horizontal="left" vertical="center"/>
    </xf>
    <xf numFmtId="0" fontId="21" fillId="0" borderId="0" xfId="11" applyFont="1"/>
    <xf numFmtId="0" fontId="38" fillId="0" borderId="0" xfId="11" applyFont="1" applyAlignment="1">
      <alignment vertical="center" wrapText="1"/>
    </xf>
    <xf numFmtId="0" fontId="38" fillId="0" borderId="0" xfId="11" applyFont="1" applyAlignment="1">
      <alignment horizontal="left" vertical="top"/>
    </xf>
    <xf numFmtId="0" fontId="38" fillId="0" borderId="0" xfId="11" applyFont="1" applyAlignment="1">
      <alignment horizontal="left" vertical="center" wrapText="1"/>
    </xf>
    <xf numFmtId="0" fontId="25" fillId="0" borderId="0" xfId="11" applyFont="1"/>
    <xf numFmtId="0" fontId="21" fillId="0" borderId="25" xfId="11" applyFont="1" applyBorder="1"/>
    <xf numFmtId="0" fontId="5" fillId="0" borderId="0" xfId="630"/>
    <xf numFmtId="0" fontId="24" fillId="0" borderId="0" xfId="11" applyFont="1"/>
    <xf numFmtId="0" fontId="37" fillId="0" borderId="0" xfId="11" applyFont="1" applyFill="1"/>
    <xf numFmtId="0" fontId="90" fillId="0" borderId="0" xfId="11" applyFont="1"/>
    <xf numFmtId="0" fontId="25" fillId="0" borderId="0" xfId="11" applyFont="1" applyFill="1"/>
    <xf numFmtId="0" fontId="24" fillId="0" borderId="0" xfId="11" applyFont="1" applyFill="1"/>
    <xf numFmtId="0" fontId="24" fillId="0" borderId="0" xfId="11" applyFont="1" applyFill="1" applyBorder="1"/>
    <xf numFmtId="0" fontId="32" fillId="7" borderId="13" xfId="4" applyFont="1" applyFill="1" applyBorder="1" applyAlignment="1" applyProtection="1">
      <alignment horizontal="center" vertical="center" wrapText="1"/>
      <protection locked="0"/>
    </xf>
    <xf numFmtId="0" fontId="17" fillId="0" borderId="0" xfId="20"/>
    <xf numFmtId="0" fontId="37" fillId="0" borderId="13" xfId="20" applyFont="1" applyBorder="1" applyAlignment="1">
      <alignment horizontal="center" vertical="center"/>
    </xf>
    <xf numFmtId="14" fontId="37" fillId="7" borderId="49" xfId="20" applyNumberFormat="1" applyFont="1" applyFill="1" applyBorder="1" applyAlignment="1" applyProtection="1">
      <alignment horizontal="center" vertical="center"/>
      <protection locked="0"/>
    </xf>
    <xf numFmtId="14" fontId="37" fillId="0" borderId="49" xfId="20" applyNumberFormat="1" applyFont="1" applyBorder="1" applyAlignment="1">
      <alignment horizontal="center" vertical="center"/>
    </xf>
    <xf numFmtId="164" fontId="37" fillId="7" borderId="49" xfId="20" applyNumberFormat="1" applyFont="1" applyFill="1" applyBorder="1" applyAlignment="1" applyProtection="1">
      <alignment horizontal="right" vertical="center"/>
      <protection locked="0"/>
    </xf>
    <xf numFmtId="0" fontId="37" fillId="7" borderId="49" xfId="20" applyFont="1" applyFill="1" applyBorder="1" applyAlignment="1" applyProtection="1">
      <alignment horizontal="center" vertical="center" wrapText="1"/>
      <protection locked="0"/>
    </xf>
    <xf numFmtId="164" fontId="37" fillId="7" borderId="20" xfId="20" applyNumberFormat="1" applyFont="1" applyFill="1" applyBorder="1" applyAlignment="1" applyProtection="1">
      <alignment horizontal="right" vertical="center"/>
      <protection locked="0"/>
    </xf>
    <xf numFmtId="0" fontId="24" fillId="36" borderId="49" xfId="24" applyFont="1" applyFill="1" applyBorder="1" applyAlignment="1">
      <alignment vertical="center" wrapText="1"/>
    </xf>
    <xf numFmtId="0" fontId="37" fillId="0" borderId="1" xfId="24" applyFont="1" applyBorder="1" applyAlignment="1">
      <alignment horizontal="left" vertical="center" wrapText="1"/>
    </xf>
    <xf numFmtId="164" fontId="37" fillId="7" borderId="1" xfId="24" applyNumberFormat="1" applyFont="1" applyFill="1" applyBorder="1" applyAlignment="1" applyProtection="1">
      <alignment vertical="center" wrapText="1"/>
      <protection locked="0"/>
    </xf>
    <xf numFmtId="164" fontId="37" fillId="0" borderId="49" xfId="11" applyNumberFormat="1" applyFont="1" applyBorder="1" applyAlignment="1">
      <alignment vertical="center" shrinkToFit="1"/>
    </xf>
    <xf numFmtId="0" fontId="24" fillId="36" borderId="13" xfId="24" applyFont="1" applyFill="1" applyBorder="1" applyAlignment="1">
      <alignment horizontal="left" vertical="center" wrapText="1"/>
    </xf>
    <xf numFmtId="0" fontId="37" fillId="0" borderId="13" xfId="24" applyFont="1" applyBorder="1" applyAlignment="1">
      <alignment horizontal="left" vertical="center" wrapText="1"/>
    </xf>
    <xf numFmtId="0" fontId="37" fillId="7" borderId="13" xfId="24" applyFont="1" applyFill="1" applyBorder="1" applyAlignment="1" applyProtection="1">
      <alignment horizontal="left" vertical="center" wrapText="1"/>
      <protection locked="0"/>
    </xf>
    <xf numFmtId="0" fontId="24" fillId="0" borderId="42" xfId="24" applyFont="1" applyBorder="1" applyAlignment="1">
      <alignment horizontal="left" vertical="center" wrapText="1" indent="1"/>
    </xf>
    <xf numFmtId="164" fontId="24" fillId="0" borderId="44" xfId="24" applyNumberFormat="1" applyFont="1" applyBorder="1" applyAlignment="1" applyProtection="1">
      <alignment vertical="center" wrapText="1"/>
      <protection locked="0"/>
    </xf>
    <xf numFmtId="0" fontId="24" fillId="0" borderId="1" xfId="24" applyFont="1" applyBorder="1" applyAlignment="1">
      <alignment horizontal="left" vertical="center" wrapText="1" indent="1"/>
    </xf>
    <xf numFmtId="164" fontId="24" fillId="7" borderId="1" xfId="24" applyNumberFormat="1" applyFont="1" applyFill="1" applyBorder="1" applyAlignment="1" applyProtection="1">
      <alignment vertical="center" wrapText="1"/>
      <protection locked="0"/>
    </xf>
    <xf numFmtId="164" fontId="24" fillId="0" borderId="49" xfId="11" applyNumberFormat="1" applyFont="1" applyBorder="1" applyAlignment="1">
      <alignment vertical="center" shrinkToFit="1"/>
    </xf>
    <xf numFmtId="0" fontId="24" fillId="0" borderId="44" xfId="24" applyFont="1" applyBorder="1" applyAlignment="1">
      <alignment horizontal="left" vertical="center" wrapText="1" indent="1"/>
    </xf>
    <xf numFmtId="164" fontId="24" fillId="0" borderId="44" xfId="24" applyNumberFormat="1" applyFont="1" applyBorder="1" applyAlignment="1">
      <alignment vertical="center" wrapText="1"/>
    </xf>
    <xf numFmtId="0" fontId="62" fillId="0" borderId="0" xfId="20" applyFont="1"/>
    <xf numFmtId="0" fontId="17" fillId="0" borderId="14" xfId="20" applyBorder="1" applyAlignment="1">
      <alignment vertical="center"/>
    </xf>
    <xf numFmtId="0" fontId="17" fillId="0" borderId="0" xfId="20" applyAlignment="1">
      <alignment shrinkToFit="1"/>
    </xf>
    <xf numFmtId="0" fontId="49" fillId="0" borderId="0" xfId="24" applyFont="1" applyAlignment="1">
      <alignment horizontal="left" vertical="center" wrapText="1"/>
    </xf>
    <xf numFmtId="0" fontId="49" fillId="0" borderId="0" xfId="24" applyFont="1" applyAlignment="1">
      <alignment horizontal="right" vertical="center" wrapText="1"/>
    </xf>
    <xf numFmtId="0" fontId="49" fillId="0" borderId="0" xfId="24" applyFont="1" applyAlignment="1">
      <alignment vertical="center" wrapText="1"/>
    </xf>
    <xf numFmtId="164" fontId="95" fillId="0" borderId="0" xfId="48" applyNumberFormat="1" applyFont="1" applyAlignment="1">
      <alignment vertical="center" wrapText="1"/>
    </xf>
    <xf numFmtId="0" fontId="17" fillId="0" borderId="0" xfId="11"/>
    <xf numFmtId="0" fontId="17" fillId="0" borderId="0" xfId="11" applyAlignment="1">
      <alignment horizontal="left" vertical="center"/>
    </xf>
    <xf numFmtId="164" fontId="17" fillId="0" borderId="0" xfId="11" applyNumberFormat="1" applyAlignment="1">
      <alignment horizontal="center" vertical="center"/>
    </xf>
    <xf numFmtId="1" fontId="17" fillId="0" borderId="0" xfId="11" applyNumberFormat="1" applyAlignment="1">
      <alignment horizontal="center" vertical="center"/>
    </xf>
    <xf numFmtId="5" fontId="37" fillId="0" borderId="0" xfId="11" applyNumberFormat="1" applyFont="1" applyAlignment="1" applyProtection="1">
      <alignment vertical="center"/>
      <protection locked="0"/>
    </xf>
    <xf numFmtId="5" fontId="37" fillId="0" borderId="0" xfId="11" applyNumberFormat="1" applyFont="1" applyAlignment="1" applyProtection="1">
      <alignment horizontal="center" vertical="center"/>
      <protection locked="0"/>
    </xf>
    <xf numFmtId="9" fontId="43" fillId="0" borderId="0" xfId="21" applyNumberFormat="1"/>
    <xf numFmtId="0" fontId="97" fillId="0" borderId="0" xfId="11" applyFont="1" applyAlignment="1">
      <alignment horizontal="left" vertical="center"/>
    </xf>
    <xf numFmtId="164" fontId="98" fillId="0" borderId="0" xfId="11" applyNumberFormat="1" applyFont="1" applyAlignment="1" applyProtection="1">
      <alignment horizontal="center" vertical="center"/>
      <protection locked="0"/>
    </xf>
    <xf numFmtId="164" fontId="97" fillId="0" borderId="0" xfId="11" applyNumberFormat="1" applyFont="1" applyAlignment="1">
      <alignment horizontal="center" vertical="center"/>
    </xf>
    <xf numFmtId="9" fontId="17" fillId="0" borderId="0" xfId="11" applyNumberFormat="1" applyFill="1" applyBorder="1" applyAlignment="1" applyProtection="1">
      <alignment horizontal="center" vertical="center"/>
    </xf>
    <xf numFmtId="0" fontId="17" fillId="0" borderId="0" xfId="11" applyFill="1" applyAlignment="1">
      <alignment horizontal="center" vertical="center"/>
    </xf>
    <xf numFmtId="0" fontId="23" fillId="0" borderId="0" xfId="11" applyFont="1" applyFill="1" applyBorder="1" applyAlignment="1">
      <alignment horizontal="center" vertical="center"/>
    </xf>
    <xf numFmtId="0" fontId="62" fillId="0" borderId="4" xfId="11" applyFont="1" applyBorder="1" applyAlignment="1">
      <alignment horizontal="center" vertical="center" shrinkToFit="1"/>
    </xf>
    <xf numFmtId="0" fontId="99" fillId="0" borderId="14" xfId="11" applyFont="1" applyBorder="1" applyAlignment="1">
      <alignment horizontal="center" vertical="center"/>
    </xf>
    <xf numFmtId="0" fontId="17" fillId="0" borderId="0" xfId="11" applyAlignment="1">
      <alignment vertical="center"/>
    </xf>
    <xf numFmtId="0" fontId="17" fillId="0" borderId="48" xfId="11" applyBorder="1" applyAlignment="1">
      <alignment vertical="center"/>
    </xf>
    <xf numFmtId="0" fontId="49" fillId="0" borderId="25" xfId="24" applyFont="1" applyBorder="1" applyAlignment="1">
      <alignment horizontal="left" vertical="center" wrapText="1"/>
    </xf>
    <xf numFmtId="0" fontId="26" fillId="0" borderId="0" xfId="11" applyFont="1" applyAlignment="1">
      <alignment horizontal="center"/>
    </xf>
    <xf numFmtId="0" fontId="26" fillId="0" borderId="49" xfId="11" applyFont="1" applyBorder="1" applyAlignment="1">
      <alignment horizontal="center" vertical="center"/>
    </xf>
    <xf numFmtId="0" fontId="25" fillId="0" borderId="28" xfId="24" applyFont="1" applyBorder="1" applyAlignment="1">
      <alignment vertical="top" wrapText="1"/>
    </xf>
    <xf numFmtId="0" fontId="41" fillId="0" borderId="0" xfId="11" applyFont="1" applyAlignment="1">
      <alignment horizontal="center"/>
    </xf>
    <xf numFmtId="0" fontId="17" fillId="0" borderId="0" xfId="11" applyAlignment="1">
      <alignment horizontal="center"/>
    </xf>
    <xf numFmtId="0" fontId="17" fillId="0" borderId="4" xfId="11" applyBorder="1" applyAlignment="1">
      <alignment vertical="center"/>
    </xf>
    <xf numFmtId="6" fontId="32" fillId="7" borderId="1" xfId="11" applyNumberFormat="1" applyFont="1" applyFill="1" applyBorder="1" applyAlignment="1" applyProtection="1">
      <alignment horizontal="right" vertical="center" shrinkToFit="1"/>
      <protection locked="0"/>
    </xf>
    <xf numFmtId="6" fontId="32" fillId="7" borderId="75" xfId="11" applyNumberFormat="1" applyFont="1" applyFill="1" applyBorder="1" applyAlignment="1" applyProtection="1">
      <alignment horizontal="right" vertical="center" shrinkToFit="1"/>
      <protection locked="0"/>
    </xf>
    <xf numFmtId="6" fontId="32" fillId="7" borderId="6" xfId="11" applyNumberFormat="1" applyFont="1" applyFill="1" applyBorder="1" applyAlignment="1" applyProtection="1">
      <alignment horizontal="right" vertical="center" shrinkToFit="1"/>
      <protection locked="0"/>
    </xf>
    <xf numFmtId="6" fontId="32" fillId="7" borderId="8" xfId="11" applyNumberFormat="1" applyFont="1" applyFill="1" applyBorder="1" applyAlignment="1" applyProtection="1">
      <alignment horizontal="right" vertical="center" shrinkToFit="1"/>
      <protection locked="0"/>
    </xf>
    <xf numFmtId="6" fontId="32" fillId="0" borderId="9" xfId="11" applyNumberFormat="1" applyFont="1" applyBorder="1" applyAlignment="1">
      <alignment horizontal="right" vertical="center" shrinkToFit="1"/>
    </xf>
    <xf numFmtId="0" fontId="41" fillId="0" borderId="0" xfId="11" applyFont="1" applyAlignment="1">
      <alignment horizontal="center" vertical="center"/>
    </xf>
    <xf numFmtId="6" fontId="32" fillId="7" borderId="9" xfId="11" applyNumberFormat="1" applyFont="1" applyFill="1" applyBorder="1" applyAlignment="1" applyProtection="1">
      <alignment horizontal="right" vertical="center" shrinkToFit="1"/>
      <protection locked="0"/>
    </xf>
    <xf numFmtId="0" fontId="17" fillId="7" borderId="4" xfId="11" applyFill="1" applyBorder="1" applyAlignment="1" applyProtection="1">
      <alignment vertical="center" shrinkToFit="1"/>
      <protection locked="0"/>
    </xf>
    <xf numFmtId="0" fontId="17" fillId="7" borderId="7" xfId="11" applyFill="1" applyBorder="1" applyAlignment="1" applyProtection="1">
      <alignment vertical="center" shrinkToFit="1"/>
      <protection locked="0"/>
    </xf>
    <xf numFmtId="6" fontId="32" fillId="7" borderId="49" xfId="11" applyNumberFormat="1" applyFont="1" applyFill="1" applyBorder="1" applyAlignment="1" applyProtection="1">
      <alignment horizontal="right" vertical="center" shrinkToFit="1"/>
      <protection locked="0"/>
    </xf>
    <xf numFmtId="0" fontId="17" fillId="0" borderId="19" xfId="11" applyBorder="1" applyAlignment="1">
      <alignment vertical="center"/>
    </xf>
    <xf numFmtId="0" fontId="26" fillId="0" borderId="4" xfId="11" applyFont="1" applyBorder="1" applyAlignment="1">
      <alignment horizontal="right" vertical="center"/>
    </xf>
    <xf numFmtId="6" fontId="31" fillId="0" borderId="1" xfId="11" applyNumberFormat="1" applyFont="1" applyBorder="1" applyAlignment="1">
      <alignment horizontal="right" vertical="center" shrinkToFit="1"/>
    </xf>
    <xf numFmtId="6" fontId="17" fillId="7" borderId="1" xfId="11" applyNumberFormat="1" applyFill="1" applyBorder="1" applyAlignment="1" applyProtection="1">
      <alignment vertical="center" shrinkToFit="1"/>
      <protection locked="0"/>
    </xf>
    <xf numFmtId="3" fontId="17" fillId="0" borderId="6" xfId="11" applyNumberFormat="1" applyBorder="1" applyAlignment="1">
      <alignment horizontal="left" vertical="top" wrapText="1"/>
    </xf>
    <xf numFmtId="0" fontId="25" fillId="7" borderId="28" xfId="24" applyFont="1" applyFill="1" applyBorder="1" applyAlignment="1" applyProtection="1">
      <alignment vertical="top" wrapText="1"/>
      <protection locked="0"/>
    </xf>
    <xf numFmtId="0" fontId="17" fillId="0" borderId="26" xfId="11" applyBorder="1" applyAlignment="1">
      <alignment vertical="center"/>
    </xf>
    <xf numFmtId="0" fontId="17" fillId="0" borderId="7" xfId="11" applyBorder="1" applyAlignment="1">
      <alignment vertical="center"/>
    </xf>
    <xf numFmtId="3" fontId="17" fillId="0" borderId="0" xfId="11" applyNumberFormat="1" applyAlignment="1">
      <alignment horizontal="left" vertical="top" wrapText="1"/>
    </xf>
    <xf numFmtId="0" fontId="26" fillId="0" borderId="7" xfId="11" applyFont="1" applyBorder="1" applyAlignment="1">
      <alignment horizontal="right" vertical="center"/>
    </xf>
    <xf numFmtId="0" fontId="17" fillId="0" borderId="0" xfId="11" applyProtection="1">
      <protection locked="0"/>
    </xf>
    <xf numFmtId="0" fontId="30" fillId="0" borderId="7" xfId="11" applyFont="1" applyBorder="1" applyAlignment="1">
      <alignment horizontal="right" vertical="center"/>
    </xf>
    <xf numFmtId="3" fontId="22" fillId="0" borderId="7" xfId="11" applyNumberFormat="1" applyFont="1" applyBorder="1" applyAlignment="1">
      <alignment vertical="center"/>
    </xf>
    <xf numFmtId="9" fontId="26" fillId="0" borderId="7" xfId="11" applyNumberFormat="1" applyFont="1" applyBorder="1" applyAlignment="1">
      <alignment horizontal="center" vertical="center"/>
    </xf>
    <xf numFmtId="0" fontId="25" fillId="0" borderId="27" xfId="24" applyFont="1" applyBorder="1" applyAlignment="1">
      <alignment vertical="top" wrapText="1"/>
    </xf>
    <xf numFmtId="0" fontId="17" fillId="0" borderId="14" xfId="11" applyBorder="1"/>
    <xf numFmtId="0" fontId="17" fillId="0" borderId="75" xfId="11" applyBorder="1"/>
    <xf numFmtId="0" fontId="17" fillId="0" borderId="6" xfId="11" applyBorder="1"/>
    <xf numFmtId="0" fontId="25" fillId="0" borderId="25" xfId="24" applyFont="1" applyBorder="1" applyAlignment="1">
      <alignment vertical="center" wrapText="1"/>
    </xf>
    <xf numFmtId="0" fontId="26" fillId="0" borderId="54" xfId="11" applyFont="1" applyBorder="1" applyAlignment="1">
      <alignment vertical="center" wrapText="1"/>
    </xf>
    <xf numFmtId="0" fontId="26" fillId="0" borderId="77" xfId="11" applyFont="1" applyBorder="1" applyAlignment="1">
      <alignment vertical="center"/>
    </xf>
    <xf numFmtId="0" fontId="17" fillId="7" borderId="1" xfId="11" applyFill="1" applyBorder="1" applyAlignment="1" applyProtection="1">
      <alignment horizontal="center" vertical="center" shrinkToFit="1"/>
      <protection locked="0"/>
    </xf>
    <xf numFmtId="38" fontId="17" fillId="7" borderId="79" xfId="11" applyNumberFormat="1" applyFill="1" applyBorder="1" applyAlignment="1" applyProtection="1">
      <alignment horizontal="center" vertical="center" shrinkToFit="1"/>
      <protection locked="0"/>
    </xf>
    <xf numFmtId="9" fontId="17" fillId="0" borderId="0" xfId="11" applyNumberFormat="1"/>
    <xf numFmtId="38" fontId="17" fillId="7" borderId="81" xfId="11" applyNumberFormat="1" applyFill="1" applyBorder="1" applyAlignment="1" applyProtection="1">
      <alignment horizontal="center" vertical="center" shrinkToFit="1"/>
      <protection locked="0"/>
    </xf>
    <xf numFmtId="0" fontId="26" fillId="0" borderId="26" xfId="11" applyFont="1" applyBorder="1" applyAlignment="1">
      <alignment horizontal="right" vertical="center"/>
    </xf>
    <xf numFmtId="38" fontId="26" fillId="0" borderId="81" xfId="11" applyNumberFormat="1" applyFont="1" applyBorder="1" applyAlignment="1">
      <alignment horizontal="center" vertical="center" shrinkToFit="1"/>
    </xf>
    <xf numFmtId="0" fontId="17" fillId="0" borderId="3" xfId="11" applyBorder="1" applyAlignment="1">
      <alignment vertical="center"/>
    </xf>
    <xf numFmtId="6" fontId="32" fillId="0" borderId="75" xfId="11" applyNumberFormat="1" applyFont="1" applyBorder="1" applyAlignment="1">
      <alignment vertical="center" shrinkToFit="1"/>
    </xf>
    <xf numFmtId="6" fontId="17" fillId="0" borderId="0" xfId="11" applyNumberFormat="1"/>
    <xf numFmtId="0" fontId="17" fillId="0" borderId="14" xfId="11" applyBorder="1" applyAlignment="1">
      <alignment horizontal="center" vertical="center"/>
    </xf>
    <xf numFmtId="0" fontId="17" fillId="0" borderId="6" xfId="11" applyBorder="1" applyAlignment="1">
      <alignment horizontal="center" vertical="center"/>
    </xf>
    <xf numFmtId="0" fontId="17" fillId="0" borderId="3" xfId="11" applyBorder="1" applyAlignment="1">
      <alignment horizontal="right" vertical="center"/>
    </xf>
    <xf numFmtId="6" fontId="17" fillId="0" borderId="75" xfId="11" applyNumberFormat="1" applyBorder="1" applyAlignment="1">
      <alignment vertical="center" shrinkToFit="1"/>
    </xf>
    <xf numFmtId="6" fontId="17" fillId="0" borderId="6" xfId="11" applyNumberFormat="1" applyBorder="1" applyAlignment="1">
      <alignment vertical="center" shrinkToFit="1"/>
    </xf>
    <xf numFmtId="0" fontId="17" fillId="0" borderId="19" xfId="11" applyBorder="1" applyAlignment="1">
      <alignment horizontal="center" vertical="center"/>
    </xf>
    <xf numFmtId="0" fontId="17" fillId="0" borderId="48" xfId="11" applyBorder="1" applyAlignment="1">
      <alignment horizontal="right" vertical="center"/>
    </xf>
    <xf numFmtId="6" fontId="17" fillId="0" borderId="1" xfId="11" applyNumberFormat="1" applyBorder="1" applyAlignment="1">
      <alignment vertical="center" shrinkToFit="1"/>
    </xf>
    <xf numFmtId="0" fontId="17" fillId="0" borderId="2" xfId="11" applyBorder="1" applyAlignment="1">
      <alignment vertical="center"/>
    </xf>
    <xf numFmtId="6" fontId="17" fillId="0" borderId="75" xfId="11" applyNumberFormat="1" applyBorder="1" applyAlignment="1">
      <alignment horizontal="right" vertical="center" shrinkToFit="1"/>
    </xf>
    <xf numFmtId="6" fontId="17" fillId="0" borderId="1" xfId="11" applyNumberFormat="1" applyBorder="1" applyAlignment="1">
      <alignment horizontal="right" vertical="center" shrinkToFit="1"/>
    </xf>
    <xf numFmtId="6" fontId="17" fillId="1" borderId="81" xfId="11" applyNumberFormat="1" applyFill="1" applyBorder="1" applyAlignment="1">
      <alignment vertical="center" shrinkToFit="1"/>
    </xf>
    <xf numFmtId="6" fontId="17" fillId="7" borderId="81" xfId="11" applyNumberFormat="1" applyFill="1" applyBorder="1" applyAlignment="1" applyProtection="1">
      <alignment vertical="center" shrinkToFit="1"/>
      <protection locked="0"/>
    </xf>
    <xf numFmtId="6" fontId="31" fillId="0" borderId="81" xfId="11" applyNumberFormat="1" applyFont="1" applyBorder="1" applyAlignment="1">
      <alignment horizontal="right" vertical="center" shrinkToFit="1"/>
    </xf>
    <xf numFmtId="0" fontId="26" fillId="0" borderId="7" xfId="11" applyFont="1" applyBorder="1" applyAlignment="1">
      <alignment vertical="center"/>
    </xf>
    <xf numFmtId="6" fontId="32" fillId="0" borderId="7" xfId="11" applyNumberFormat="1" applyFont="1" applyBorder="1" applyAlignment="1">
      <alignment horizontal="right" vertical="center"/>
    </xf>
    <xf numFmtId="6" fontId="17" fillId="0" borderId="7" xfId="11" applyNumberFormat="1" applyBorder="1" applyAlignment="1">
      <alignment vertical="center"/>
    </xf>
    <xf numFmtId="165" fontId="32" fillId="7" borderId="1" xfId="12" applyNumberFormat="1" applyFont="1" applyFill="1" applyBorder="1" applyAlignment="1" applyProtection="1">
      <alignment horizontal="right" vertical="center" shrinkToFit="1"/>
      <protection locked="0"/>
    </xf>
    <xf numFmtId="165" fontId="32" fillId="7" borderId="81" xfId="12" applyNumberFormat="1" applyFont="1" applyFill="1" applyBorder="1" applyAlignment="1" applyProtection="1">
      <alignment horizontal="right" vertical="center" shrinkToFit="1"/>
      <protection locked="0"/>
    </xf>
    <xf numFmtId="6" fontId="17" fillId="0" borderId="81" xfId="11" applyNumberFormat="1" applyBorder="1" applyAlignment="1">
      <alignment vertical="center" shrinkToFit="1"/>
    </xf>
    <xf numFmtId="6" fontId="31" fillId="0" borderId="81" xfId="13" applyNumberFormat="1" applyFont="1" applyBorder="1" applyAlignment="1">
      <alignment horizontal="right" vertical="center" shrinkToFit="1"/>
    </xf>
    <xf numFmtId="0" fontId="30" fillId="0" borderId="1" xfId="11" applyFont="1" applyBorder="1" applyAlignment="1">
      <alignment horizontal="center" vertical="center"/>
    </xf>
    <xf numFmtId="0" fontId="30" fillId="0" borderId="28" xfId="24" applyFont="1" applyBorder="1" applyAlignment="1">
      <alignment horizontal="center" vertical="center" wrapText="1"/>
    </xf>
    <xf numFmtId="0" fontId="17" fillId="0" borderId="14" xfId="11" applyBorder="1" applyAlignment="1">
      <alignment vertical="center"/>
    </xf>
    <xf numFmtId="0" fontId="17" fillId="0" borderId="25" xfId="11" applyBorder="1" applyAlignment="1">
      <alignment vertical="center"/>
    </xf>
    <xf numFmtId="6" fontId="32" fillId="0" borderId="75" xfId="11" applyNumberFormat="1" applyFont="1" applyBorder="1" applyAlignment="1">
      <alignment vertical="center"/>
    </xf>
    <xf numFmtId="6" fontId="35" fillId="0" borderId="6" xfId="11" applyNumberFormat="1" applyFont="1" applyBorder="1" applyAlignment="1">
      <alignment vertical="center"/>
    </xf>
    <xf numFmtId="0" fontId="25" fillId="7" borderId="20" xfId="24" applyFont="1" applyFill="1" applyBorder="1" applyAlignment="1">
      <alignment horizontal="left" vertical="center" wrapText="1"/>
    </xf>
    <xf numFmtId="0" fontId="26" fillId="0" borderId="4" xfId="11" applyFont="1" applyBorder="1" applyAlignment="1">
      <alignment vertical="center"/>
    </xf>
    <xf numFmtId="6" fontId="32" fillId="0" borderId="1" xfId="11" applyNumberFormat="1" applyFont="1" applyBorder="1" applyAlignment="1">
      <alignment vertical="center"/>
    </xf>
    <xf numFmtId="6" fontId="32" fillId="7" borderId="1" xfId="11" applyNumberFormat="1" applyFont="1" applyFill="1" applyBorder="1" applyAlignment="1" applyProtection="1">
      <alignment vertical="center" shrinkToFit="1"/>
      <protection locked="0"/>
    </xf>
    <xf numFmtId="6" fontId="32" fillId="0" borderId="81" xfId="11" applyNumberFormat="1" applyFont="1" applyBorder="1" applyAlignment="1">
      <alignment vertical="center" shrinkToFit="1"/>
    </xf>
    <xf numFmtId="6" fontId="17" fillId="0" borderId="81" xfId="11" applyNumberFormat="1" applyBorder="1" applyAlignment="1">
      <alignment vertical="center"/>
    </xf>
    <xf numFmtId="6" fontId="35" fillId="0" borderId="81" xfId="11" applyNumberFormat="1" applyFont="1" applyBorder="1" applyAlignment="1">
      <alignment vertical="center"/>
    </xf>
    <xf numFmtId="6" fontId="32" fillId="0" borderId="1" xfId="11" applyNumberFormat="1" applyFont="1" applyBorder="1" applyAlignment="1">
      <alignment vertical="center" shrinkToFit="1"/>
    </xf>
    <xf numFmtId="0" fontId="17" fillId="0" borderId="13" xfId="11" applyBorder="1" applyAlignment="1">
      <alignment horizontal="centerContinuous" vertical="center"/>
    </xf>
    <xf numFmtId="0" fontId="26" fillId="0" borderId="83" xfId="11" applyFont="1" applyBorder="1" applyAlignment="1">
      <alignment horizontal="right" vertical="center"/>
    </xf>
    <xf numFmtId="6" fontId="32" fillId="0" borderId="84" xfId="11" applyNumberFormat="1" applyFont="1" applyBorder="1" applyAlignment="1">
      <alignment vertical="center" shrinkToFit="1"/>
    </xf>
    <xf numFmtId="0" fontId="25" fillId="0" borderId="85" xfId="24" applyFont="1" applyBorder="1" applyAlignment="1">
      <alignment vertical="top" wrapText="1"/>
    </xf>
    <xf numFmtId="6" fontId="32" fillId="0" borderId="84" xfId="11" applyNumberFormat="1" applyFont="1" applyBorder="1" applyAlignment="1">
      <alignment vertical="center"/>
    </xf>
    <xf numFmtId="0" fontId="30" fillId="0" borderId="85" xfId="24" applyFont="1" applyBorder="1" applyAlignment="1">
      <alignment horizontal="center" vertical="center" wrapText="1"/>
    </xf>
    <xf numFmtId="0" fontId="17" fillId="0" borderId="86" xfId="11" applyBorder="1" applyAlignment="1">
      <alignment vertical="center"/>
    </xf>
    <xf numFmtId="6" fontId="32" fillId="0" borderId="1" xfId="11" applyNumberFormat="1" applyFont="1" applyBorder="1" applyAlignment="1" applyProtection="1">
      <alignment vertical="center" shrinkToFit="1"/>
      <protection locked="0"/>
    </xf>
    <xf numFmtId="0" fontId="25" fillId="7" borderId="85" xfId="24" applyFont="1" applyFill="1" applyBorder="1" applyAlignment="1" applyProtection="1">
      <alignment vertical="top" wrapText="1"/>
      <protection locked="0"/>
    </xf>
    <xf numFmtId="6" fontId="32" fillId="7" borderId="84" xfId="11" applyNumberFormat="1" applyFont="1" applyFill="1" applyBorder="1" applyAlignment="1" applyProtection="1">
      <alignment vertical="center" shrinkToFit="1"/>
      <protection locked="0"/>
    </xf>
    <xf numFmtId="0" fontId="26" fillId="0" borderId="86" xfId="11" applyFont="1" applyBorder="1" applyAlignment="1">
      <alignment horizontal="right" vertical="center"/>
    </xf>
    <xf numFmtId="0" fontId="100" fillId="0" borderId="0" xfId="11" applyFont="1" applyAlignment="1">
      <alignment horizontal="center"/>
    </xf>
    <xf numFmtId="38" fontId="100" fillId="0" borderId="0" xfId="11" applyNumberFormat="1" applyFont="1" applyAlignment="1">
      <alignment horizontal="center" vertical="center"/>
    </xf>
    <xf numFmtId="6" fontId="100" fillId="0" borderId="0" xfId="11" applyNumberFormat="1" applyFont="1"/>
    <xf numFmtId="0" fontId="17" fillId="7" borderId="86" xfId="11" applyFill="1" applyBorder="1" applyAlignment="1" applyProtection="1">
      <alignment vertical="center" shrinkToFit="1"/>
      <protection locked="0"/>
    </xf>
    <xf numFmtId="6" fontId="26" fillId="0" borderId="0" xfId="11" applyNumberFormat="1" applyFont="1"/>
    <xf numFmtId="0" fontId="22" fillId="0" borderId="86" xfId="11" applyFont="1" applyBorder="1" applyAlignment="1">
      <alignment horizontal="right" vertical="center"/>
    </xf>
    <xf numFmtId="6" fontId="22" fillId="0" borderId="84" xfId="11" applyNumberFormat="1" applyFont="1" applyBorder="1" applyAlignment="1">
      <alignment vertical="center" shrinkToFit="1"/>
    </xf>
    <xf numFmtId="6" fontId="22" fillId="0" borderId="81" xfId="11" applyNumberFormat="1" applyFont="1" applyBorder="1" applyAlignment="1">
      <alignment vertical="center" shrinkToFit="1"/>
    </xf>
    <xf numFmtId="0" fontId="26" fillId="0" borderId="7" xfId="11" applyFont="1" applyBorder="1" applyAlignment="1">
      <alignment horizontal="left" vertical="center"/>
    </xf>
    <xf numFmtId="6" fontId="85" fillId="0" borderId="84" xfId="11" applyNumberFormat="1" applyFont="1" applyBorder="1" applyAlignment="1">
      <alignment horizontal="center" vertical="center"/>
    </xf>
    <xf numFmtId="6" fontId="30" fillId="0" borderId="81" xfId="11" applyNumberFormat="1" applyFont="1" applyBorder="1" applyAlignment="1">
      <alignment horizontal="center" vertical="center"/>
    </xf>
    <xf numFmtId="0" fontId="17" fillId="0" borderId="48" xfId="11" applyBorder="1" applyAlignment="1">
      <alignment horizontal="left" vertical="center"/>
    </xf>
    <xf numFmtId="0" fontId="17" fillId="7" borderId="86" xfId="11" applyFill="1" applyBorder="1" applyAlignment="1" applyProtection="1">
      <alignment horizontal="left" vertical="center" shrinkToFit="1"/>
      <protection locked="0"/>
    </xf>
    <xf numFmtId="0" fontId="37" fillId="0" borderId="85" xfId="24" applyFont="1" applyBorder="1" applyAlignment="1">
      <alignment vertical="top" wrapText="1"/>
    </xf>
    <xf numFmtId="0" fontId="17" fillId="0" borderId="86" xfId="11" applyBorder="1" applyAlignment="1">
      <alignment horizontal="left" vertical="center"/>
    </xf>
    <xf numFmtId="0" fontId="37" fillId="7" borderId="85" xfId="24" applyFont="1" applyFill="1" applyBorder="1" applyAlignment="1" applyProtection="1">
      <alignment vertical="top" wrapText="1"/>
      <protection locked="0"/>
    </xf>
    <xf numFmtId="6" fontId="101" fillId="0" borderId="84" xfId="11" applyNumberFormat="1" applyFont="1" applyBorder="1" applyAlignment="1">
      <alignment vertical="center" shrinkToFit="1"/>
    </xf>
    <xf numFmtId="6" fontId="31" fillId="0" borderId="84" xfId="11" applyNumberFormat="1" applyFont="1" applyBorder="1" applyAlignment="1">
      <alignment horizontal="left" vertical="center"/>
    </xf>
    <xf numFmtId="0" fontId="17" fillId="7" borderId="2" xfId="11" applyFill="1" applyBorder="1" applyAlignment="1" applyProtection="1">
      <alignment horizontal="left" vertical="center" shrinkToFit="1"/>
      <protection locked="0"/>
    </xf>
    <xf numFmtId="6" fontId="17" fillId="7" borderId="9" xfId="11" applyNumberFormat="1" applyFill="1" applyBorder="1" applyAlignment="1" applyProtection="1">
      <alignment vertical="center" shrinkToFit="1"/>
      <protection locked="0"/>
    </xf>
    <xf numFmtId="6" fontId="32" fillId="7" borderId="84" xfId="11" applyNumberFormat="1" applyFont="1" applyFill="1" applyBorder="1" applyAlignment="1" applyProtection="1">
      <alignment horizontal="right" vertical="center" shrinkToFit="1"/>
      <protection locked="0"/>
    </xf>
    <xf numFmtId="0" fontId="26" fillId="0" borderId="0" xfId="11" applyFont="1"/>
    <xf numFmtId="0" fontId="26" fillId="0" borderId="0" xfId="11" applyFont="1" applyAlignment="1">
      <alignment horizontal="right"/>
    </xf>
    <xf numFmtId="0" fontId="102" fillId="0" borderId="0" xfId="11" applyFont="1" applyAlignment="1">
      <alignment horizontal="right"/>
    </xf>
    <xf numFmtId="0" fontId="26" fillId="0" borderId="0" xfId="11" applyFont="1" applyAlignment="1">
      <alignment horizontal="left"/>
    </xf>
    <xf numFmtId="0" fontId="103" fillId="0" borderId="0" xfId="11" applyFont="1" applyAlignment="1">
      <alignment horizontal="left"/>
    </xf>
    <xf numFmtId="0" fontId="24" fillId="0" borderId="0" xfId="11" applyFont="1" applyAlignment="1">
      <alignment horizontal="left"/>
    </xf>
    <xf numFmtId="0" fontId="24" fillId="0" borderId="0" xfId="11" applyFont="1" applyAlignment="1">
      <alignment horizontal="left" wrapText="1"/>
    </xf>
    <xf numFmtId="0" fontId="24" fillId="0" borderId="2" xfId="11" applyFont="1" applyBorder="1" applyAlignment="1">
      <alignment horizontal="right" wrapText="1"/>
    </xf>
    <xf numFmtId="0" fontId="24" fillId="0" borderId="7" xfId="11" applyFont="1" applyBorder="1" applyAlignment="1">
      <alignment horizontal="right" wrapText="1"/>
    </xf>
    <xf numFmtId="0" fontId="37" fillId="0" borderId="0" xfId="11" applyFont="1"/>
    <xf numFmtId="165" fontId="37" fillId="0" borderId="0" xfId="11" applyNumberFormat="1" applyFont="1" applyAlignment="1" applyProtection="1">
      <alignment shrinkToFit="1"/>
      <protection locked="0"/>
    </xf>
    <xf numFmtId="38" fontId="34" fillId="0" borderId="2" xfId="11" applyNumberFormat="1" applyFont="1" applyBorder="1" applyAlignment="1">
      <alignment horizontal="right"/>
    </xf>
    <xf numFmtId="38" fontId="34" fillId="0" borderId="0" xfId="11" applyNumberFormat="1" applyFont="1" applyAlignment="1">
      <alignment horizontal="right"/>
    </xf>
    <xf numFmtId="165" fontId="37" fillId="7" borderId="0" xfId="11" applyNumberFormat="1" applyFont="1" applyFill="1" applyAlignment="1" applyProtection="1">
      <alignment shrinkToFit="1"/>
      <protection locked="0"/>
    </xf>
    <xf numFmtId="38" fontId="37" fillId="0" borderId="3" xfId="11" applyNumberFormat="1" applyFont="1" applyBorder="1"/>
    <xf numFmtId="38" fontId="34" fillId="0" borderId="3" xfId="11" applyNumberFormat="1" applyFont="1" applyBorder="1" applyAlignment="1">
      <alignment horizontal="right"/>
    </xf>
    <xf numFmtId="38" fontId="34" fillId="0" borderId="0" xfId="11" applyNumberFormat="1" applyFont="1" applyAlignment="1" applyProtection="1">
      <alignment horizontal="right"/>
      <protection locked="0"/>
    </xf>
    <xf numFmtId="38" fontId="37" fillId="7" borderId="0" xfId="11" applyNumberFormat="1" applyFont="1" applyFill="1" applyAlignment="1" applyProtection="1">
      <alignment horizontal="right" shrinkToFit="1"/>
      <protection locked="0"/>
    </xf>
    <xf numFmtId="37" fontId="44" fillId="0" borderId="0" xfId="11" applyNumberFormat="1" applyFont="1" applyAlignment="1">
      <alignment horizontal="left"/>
    </xf>
    <xf numFmtId="165" fontId="37" fillId="0" borderId="0" xfId="11" applyNumberFormat="1" applyFont="1"/>
    <xf numFmtId="38" fontId="44" fillId="0" borderId="46" xfId="11" applyNumberFormat="1" applyFont="1" applyBorder="1" applyAlignment="1">
      <alignment horizontal="right"/>
    </xf>
    <xf numFmtId="38" fontId="44" fillId="0" borderId="47" xfId="11" applyNumberFormat="1" applyFont="1" applyBorder="1" applyAlignment="1">
      <alignment horizontal="right"/>
    </xf>
    <xf numFmtId="0" fontId="34" fillId="0" borderId="0" xfId="11" applyFont="1"/>
    <xf numFmtId="165" fontId="24" fillId="0" borderId="0" xfId="11" applyNumberFormat="1" applyFont="1"/>
    <xf numFmtId="38" fontId="37" fillId="0" borderId="3" xfId="11" applyNumberFormat="1" applyFont="1" applyBorder="1" applyAlignment="1">
      <alignment horizontal="right"/>
    </xf>
    <xf numFmtId="38" fontId="37" fillId="0" borderId="0" xfId="11" applyNumberFormat="1" applyFont="1" applyAlignment="1">
      <alignment horizontal="right"/>
    </xf>
    <xf numFmtId="0" fontId="37" fillId="0" borderId="0" xfId="11" applyFont="1" applyAlignment="1">
      <alignment horizontal="right"/>
    </xf>
    <xf numFmtId="38" fontId="37" fillId="0" borderId="48" xfId="11" applyNumberFormat="1" applyFont="1" applyBorder="1" applyAlignment="1">
      <alignment horizontal="right"/>
    </xf>
    <xf numFmtId="38" fontId="37" fillId="0" borderId="4" xfId="11" applyNumberFormat="1" applyFont="1" applyBorder="1" applyAlignment="1">
      <alignment horizontal="right"/>
    </xf>
    <xf numFmtId="38" fontId="44" fillId="0" borderId="3" xfId="11" applyNumberFormat="1" applyFont="1" applyBorder="1" applyAlignment="1">
      <alignment horizontal="right"/>
    </xf>
    <xf numFmtId="38" fontId="44" fillId="0" borderId="0" xfId="11" applyNumberFormat="1" applyFont="1" applyAlignment="1">
      <alignment horizontal="right"/>
    </xf>
    <xf numFmtId="0" fontId="44" fillId="3" borderId="0" xfId="11" applyFont="1" applyFill="1" applyAlignment="1">
      <alignment horizontal="left"/>
    </xf>
    <xf numFmtId="165" fontId="37" fillId="3" borderId="0" xfId="11" applyNumberFormat="1" applyFont="1" applyFill="1"/>
    <xf numFmtId="38" fontId="44" fillId="3" borderId="3" xfId="11" applyNumberFormat="1" applyFont="1" applyFill="1" applyBorder="1" applyAlignment="1">
      <alignment horizontal="right"/>
    </xf>
    <xf numFmtId="38" fontId="44" fillId="3" borderId="0" xfId="11" applyNumberFormat="1" applyFont="1" applyFill="1" applyAlignment="1">
      <alignment horizontal="right"/>
    </xf>
    <xf numFmtId="0" fontId="44" fillId="0" borderId="0" xfId="11" applyFont="1"/>
    <xf numFmtId="0" fontId="37" fillId="0" borderId="3" xfId="11" applyFont="1" applyBorder="1"/>
    <xf numFmtId="38" fontId="24" fillId="0" borderId="3" xfId="11" applyNumberFormat="1" applyFont="1" applyBorder="1" applyAlignment="1">
      <alignment horizontal="right"/>
    </xf>
    <xf numFmtId="38" fontId="24" fillId="0" borderId="0" xfId="11" applyNumberFormat="1" applyFont="1" applyAlignment="1">
      <alignment horizontal="right"/>
    </xf>
    <xf numFmtId="165" fontId="37" fillId="0" borderId="0" xfId="11" applyNumberFormat="1" applyFont="1" applyAlignment="1">
      <alignment horizontal="right"/>
    </xf>
    <xf numFmtId="37" fontId="44" fillId="3" borderId="0" xfId="11" applyNumberFormat="1" applyFont="1" applyFill="1" applyAlignment="1">
      <alignment horizontal="left"/>
    </xf>
    <xf numFmtId="165" fontId="24" fillId="0" borderId="0" xfId="11" applyNumberFormat="1" applyFont="1" applyAlignment="1">
      <alignment horizontal="right"/>
    </xf>
    <xf numFmtId="0" fontId="37" fillId="0" borderId="3" xfId="11" applyFont="1" applyBorder="1" applyAlignment="1">
      <alignment horizontal="right"/>
    </xf>
    <xf numFmtId="37" fontId="34" fillId="0" borderId="0" xfId="11" applyNumberFormat="1" applyFont="1"/>
    <xf numFmtId="37" fontId="37" fillId="0" borderId="0" xfId="11" applyNumberFormat="1" applyFont="1"/>
    <xf numFmtId="0" fontId="24" fillId="3" borderId="0" xfId="11" applyFont="1" applyFill="1" applyAlignment="1">
      <alignment horizontal="left"/>
    </xf>
    <xf numFmtId="0" fontId="37" fillId="3" borderId="0" xfId="11" applyFont="1" applyFill="1"/>
    <xf numFmtId="38" fontId="24" fillId="3" borderId="7" xfId="11" applyNumberFormat="1" applyFont="1" applyFill="1" applyBorder="1" applyAlignment="1">
      <alignment horizontal="right"/>
    </xf>
    <xf numFmtId="37" fontId="24" fillId="0" borderId="0" xfId="11" applyNumberFormat="1" applyFont="1"/>
    <xf numFmtId="37" fontId="24" fillId="3" borderId="0" xfId="11" applyNumberFormat="1" applyFont="1" applyFill="1" applyAlignment="1">
      <alignment horizontal="left"/>
    </xf>
    <xf numFmtId="38" fontId="24" fillId="3" borderId="46" xfId="11" applyNumberFormat="1" applyFont="1" applyFill="1" applyBorder="1" applyAlignment="1">
      <alignment horizontal="right"/>
    </xf>
    <xf numFmtId="38" fontId="24" fillId="3" borderId="47" xfId="11" applyNumberFormat="1" applyFont="1" applyFill="1" applyBorder="1" applyAlignment="1">
      <alignment horizontal="right"/>
    </xf>
    <xf numFmtId="37" fontId="24" fillId="0" borderId="0" xfId="11" applyNumberFormat="1" applyFont="1" applyAlignment="1">
      <alignment horizontal="right"/>
    </xf>
    <xf numFmtId="38" fontId="37" fillId="0" borderId="0" xfId="11" applyNumberFormat="1" applyFont="1" applyAlignment="1" applyProtection="1">
      <alignment horizontal="right"/>
      <protection locked="0"/>
    </xf>
    <xf numFmtId="38" fontId="37" fillId="7" borderId="3" xfId="11" applyNumberFormat="1" applyFont="1" applyFill="1" applyBorder="1" applyAlignment="1" applyProtection="1">
      <alignment horizontal="right" shrinkToFit="1"/>
      <protection locked="0"/>
    </xf>
    <xf numFmtId="37" fontId="24" fillId="3" borderId="0" xfId="11" applyNumberFormat="1" applyFont="1" applyFill="1" applyAlignment="1">
      <alignment vertical="center"/>
    </xf>
    <xf numFmtId="37" fontId="37" fillId="3" borderId="0" xfId="11" applyNumberFormat="1" applyFont="1" applyFill="1" applyAlignment="1">
      <alignment vertical="center"/>
    </xf>
    <xf numFmtId="38" fontId="37" fillId="3" borderId="46" xfId="11" applyNumberFormat="1" applyFont="1" applyFill="1" applyBorder="1" applyAlignment="1">
      <alignment horizontal="right" vertical="center"/>
    </xf>
    <xf numFmtId="38" fontId="37" fillId="3" borderId="47" xfId="11" applyNumberFormat="1" applyFont="1" applyFill="1" applyBorder="1" applyAlignment="1">
      <alignment horizontal="right" vertical="center"/>
    </xf>
    <xf numFmtId="0" fontId="37" fillId="0" borderId="0" xfId="11" applyFont="1" applyAlignment="1">
      <alignment vertical="center"/>
    </xf>
    <xf numFmtId="39" fontId="24" fillId="0" borderId="0" xfId="11" applyNumberFormat="1" applyFont="1" applyAlignment="1">
      <alignment horizontal="left"/>
    </xf>
    <xf numFmtId="38" fontId="24" fillId="3" borderId="0" xfId="11" applyNumberFormat="1" applyFont="1" applyFill="1" applyAlignment="1">
      <alignment horizontal="right"/>
    </xf>
    <xf numFmtId="37" fontId="24" fillId="0" borderId="0" xfId="11" applyNumberFormat="1" applyFont="1" applyAlignment="1">
      <alignment horizontal="left"/>
    </xf>
    <xf numFmtId="39" fontId="24" fillId="3" borderId="0" xfId="11" applyNumberFormat="1" applyFont="1" applyFill="1" applyAlignment="1">
      <alignment horizontal="left"/>
    </xf>
    <xf numFmtId="40" fontId="24" fillId="3" borderId="0" xfId="11" applyNumberFormat="1" applyFont="1" applyFill="1" applyAlignment="1">
      <alignment horizontal="right"/>
    </xf>
    <xf numFmtId="9" fontId="45" fillId="0" borderId="0" xfId="11" applyNumberFormat="1" applyFont="1"/>
    <xf numFmtId="0" fontId="43" fillId="0" borderId="0" xfId="11" applyFont="1" applyAlignment="1">
      <alignment horizontal="centerContinuous"/>
    </xf>
    <xf numFmtId="38" fontId="43" fillId="0" borderId="0" xfId="11" applyNumberFormat="1" applyFont="1" applyAlignment="1">
      <alignment horizontal="centerContinuous"/>
    </xf>
    <xf numFmtId="38" fontId="37" fillId="0" borderId="0" xfId="11" applyNumberFormat="1" applyFont="1"/>
    <xf numFmtId="38" fontId="37" fillId="0" borderId="0" xfId="11" applyNumberFormat="1" applyFont="1" applyProtection="1">
      <protection locked="0"/>
    </xf>
    <xf numFmtId="9" fontId="32" fillId="7" borderId="84" xfId="4" applyNumberFormat="1" applyFont="1" applyFill="1" applyBorder="1" applyAlignment="1" applyProtection="1">
      <alignment horizontal="center" vertical="center" wrapText="1"/>
      <protection locked="0"/>
    </xf>
    <xf numFmtId="1" fontId="32" fillId="7" borderId="84" xfId="4" applyNumberFormat="1" applyFont="1" applyFill="1" applyBorder="1" applyAlignment="1" applyProtection="1">
      <alignment horizontal="center" vertical="center" wrapText="1"/>
      <protection locked="0"/>
    </xf>
    <xf numFmtId="0" fontId="32" fillId="7" borderId="84" xfId="4" applyFont="1" applyFill="1" applyBorder="1" applyAlignment="1" applyProtection="1">
      <alignment horizontal="center" vertical="center" wrapText="1"/>
      <protection locked="0"/>
    </xf>
    <xf numFmtId="0" fontId="27" fillId="0" borderId="0" xfId="4" applyFont="1" applyAlignment="1">
      <alignment vertical="center"/>
    </xf>
    <xf numFmtId="0" fontId="30" fillId="0" borderId="0" xfId="53" applyFont="1" applyFill="1" applyBorder="1" applyAlignment="1">
      <alignment vertical="center" wrapText="1"/>
    </xf>
    <xf numFmtId="0" fontId="32" fillId="7" borderId="42" xfId="4" applyFont="1" applyFill="1" applyBorder="1" applyAlignment="1" applyProtection="1">
      <alignment horizontal="center" vertical="center" wrapText="1"/>
      <protection locked="0"/>
    </xf>
    <xf numFmtId="0" fontId="32" fillId="7" borderId="44" xfId="4" applyFont="1" applyFill="1" applyBorder="1" applyAlignment="1" applyProtection="1">
      <alignment horizontal="center" vertical="center" wrapText="1"/>
      <protection locked="0"/>
    </xf>
    <xf numFmtId="9" fontId="32" fillId="7" borderId="44" xfId="4" applyNumberFormat="1" applyFont="1" applyFill="1" applyBorder="1" applyAlignment="1" applyProtection="1">
      <alignment horizontal="center" vertical="center" wrapText="1"/>
      <protection locked="0"/>
    </xf>
    <xf numFmtId="38" fontId="42" fillId="7" borderId="31" xfId="48" applyNumberFormat="1" applyFont="1" applyFill="1" applyBorder="1" applyAlignment="1" applyProtection="1">
      <alignment horizontal="center" vertical="center"/>
      <protection locked="0"/>
    </xf>
    <xf numFmtId="38" fontId="17" fillId="7" borderId="31" xfId="4" applyNumberFormat="1" applyFont="1" applyFill="1" applyBorder="1" applyAlignment="1" applyProtection="1">
      <alignment horizontal="center" vertical="center"/>
      <protection locked="0"/>
    </xf>
    <xf numFmtId="8" fontId="17" fillId="0" borderId="84" xfId="4" applyNumberFormat="1" applyFont="1" applyFill="1" applyBorder="1" applyAlignment="1" applyProtection="1">
      <alignment horizontal="right" vertical="center"/>
    </xf>
    <xf numFmtId="8" fontId="17" fillId="0" borderId="44" xfId="4" applyNumberFormat="1" applyFont="1" applyFill="1" applyBorder="1" applyAlignment="1" applyProtection="1">
      <alignment horizontal="right" vertical="center"/>
    </xf>
    <xf numFmtId="8" fontId="32" fillId="0" borderId="13" xfId="4" applyNumberFormat="1" applyFont="1" applyFill="1" applyBorder="1" applyAlignment="1" applyProtection="1">
      <alignment horizontal="right" vertical="center" wrapText="1"/>
    </xf>
    <xf numFmtId="8" fontId="32" fillId="0" borderId="84" xfId="4" applyNumberFormat="1" applyFont="1" applyFill="1" applyBorder="1" applyAlignment="1" applyProtection="1">
      <alignment horizontal="right" vertical="center" wrapText="1"/>
    </xf>
    <xf numFmtId="8" fontId="32" fillId="0" borderId="85" xfId="4" applyNumberFormat="1" applyFont="1" applyFill="1" applyBorder="1" applyAlignment="1" applyProtection="1">
      <alignment horizontal="right" vertical="center" wrapText="1"/>
    </xf>
    <xf numFmtId="167" fontId="42" fillId="0" borderId="84" xfId="48" applyNumberFormat="1" applyFont="1" applyFill="1" applyBorder="1" applyAlignment="1" applyProtection="1">
      <alignment horizontal="center" vertical="center"/>
    </xf>
    <xf numFmtId="164" fontId="38" fillId="0" borderId="84" xfId="48" applyNumberFormat="1" applyFont="1" applyBorder="1" applyAlignment="1" applyProtection="1">
      <alignment horizontal="right" vertical="center"/>
    </xf>
    <xf numFmtId="0" fontId="38" fillId="0" borderId="85" xfId="48" applyFont="1" applyBorder="1" applyAlignment="1" applyProtection="1">
      <alignment horizontal="center" vertical="center"/>
    </xf>
    <xf numFmtId="8" fontId="32" fillId="0" borderId="42" xfId="4" applyNumberFormat="1" applyFont="1" applyFill="1" applyBorder="1" applyAlignment="1" applyProtection="1">
      <alignment horizontal="right" vertical="center" wrapText="1"/>
    </xf>
    <xf numFmtId="8" fontId="32" fillId="0" borderId="44" xfId="4" applyNumberFormat="1" applyFont="1" applyFill="1" applyBorder="1" applyAlignment="1" applyProtection="1">
      <alignment horizontal="right" vertical="center" wrapText="1"/>
    </xf>
    <xf numFmtId="38" fontId="32" fillId="0" borderId="30" xfId="4" applyNumberFormat="1" applyFont="1" applyFill="1" applyBorder="1" applyAlignment="1" applyProtection="1">
      <alignment horizontal="center" vertical="center" wrapText="1"/>
    </xf>
    <xf numFmtId="10" fontId="32" fillId="0" borderId="31" xfId="4" applyNumberFormat="1" applyFont="1" applyFill="1" applyBorder="1" applyAlignment="1" applyProtection="1">
      <alignment horizontal="center" vertical="center" wrapText="1"/>
    </xf>
    <xf numFmtId="8" fontId="32" fillId="0" borderId="43" xfId="4" applyNumberFormat="1" applyFont="1" applyFill="1" applyBorder="1" applyAlignment="1" applyProtection="1">
      <alignment horizontal="right" vertical="center" wrapText="1"/>
    </xf>
    <xf numFmtId="8" fontId="32" fillId="0" borderId="30" xfId="4" applyNumberFormat="1" applyFont="1" applyFill="1" applyBorder="1" applyAlignment="1" applyProtection="1">
      <alignment horizontal="right" vertical="center" wrapText="1"/>
    </xf>
    <xf numFmtId="167" fontId="42" fillId="0" borderId="44" xfId="48" applyNumberFormat="1" applyFont="1" applyFill="1" applyBorder="1" applyAlignment="1" applyProtection="1">
      <alignment horizontal="center" vertical="center"/>
    </xf>
    <xf numFmtId="164" fontId="38" fillId="0" borderId="44" xfId="48" applyNumberFormat="1" applyFont="1" applyBorder="1" applyAlignment="1" applyProtection="1">
      <alignment horizontal="right" vertical="center"/>
    </xf>
    <xf numFmtId="0" fontId="38" fillId="0" borderId="43" xfId="48" applyFont="1" applyBorder="1" applyAlignment="1" applyProtection="1">
      <alignment horizontal="center" vertical="center"/>
    </xf>
    <xf numFmtId="167" fontId="96" fillId="0" borderId="38" xfId="48" applyNumberFormat="1" applyFont="1" applyBorder="1" applyAlignment="1" applyProtection="1">
      <alignment horizontal="center" vertical="center"/>
    </xf>
    <xf numFmtId="164" fontId="92" fillId="0" borderId="38" xfId="48" applyNumberFormat="1" applyFont="1" applyBorder="1" applyAlignment="1" applyProtection="1">
      <alignment horizontal="right" vertical="center"/>
    </xf>
    <xf numFmtId="164" fontId="32" fillId="0" borderId="85" xfId="4" applyNumberFormat="1" applyFont="1" applyFill="1" applyBorder="1" applyAlignment="1" applyProtection="1">
      <alignment horizontal="right" vertical="center" wrapText="1"/>
    </xf>
    <xf numFmtId="164" fontId="32" fillId="0" borderId="43" xfId="4" applyNumberFormat="1" applyFont="1" applyFill="1" applyBorder="1" applyAlignment="1" applyProtection="1">
      <alignment horizontal="right" vertical="center" wrapText="1"/>
    </xf>
    <xf numFmtId="0" fontId="31" fillId="0" borderId="13" xfId="4" applyFont="1" applyFill="1" applyBorder="1" applyAlignment="1" applyProtection="1">
      <alignment horizontal="center" wrapText="1"/>
    </xf>
    <xf numFmtId="0" fontId="31" fillId="0" borderId="84" xfId="4" applyFont="1" applyFill="1" applyBorder="1" applyAlignment="1" applyProtection="1">
      <alignment horizontal="center" wrapText="1"/>
    </xf>
    <xf numFmtId="0" fontId="31" fillId="33" borderId="85" xfId="4" applyFont="1" applyFill="1" applyBorder="1" applyAlignment="1" applyProtection="1">
      <alignment horizontal="center" wrapText="1"/>
    </xf>
    <xf numFmtId="0" fontId="31" fillId="0" borderId="33" xfId="4" applyFont="1" applyFill="1" applyBorder="1" applyAlignment="1" applyProtection="1">
      <alignment horizontal="center" wrapText="1"/>
    </xf>
    <xf numFmtId="0" fontId="31" fillId="0" borderId="48" xfId="4" applyFont="1" applyFill="1" applyBorder="1" applyAlignment="1" applyProtection="1">
      <alignment horizontal="center" wrapText="1"/>
    </xf>
    <xf numFmtId="0" fontId="31" fillId="33" borderId="1" xfId="4" applyFont="1" applyFill="1" applyBorder="1" applyAlignment="1" applyProtection="1">
      <alignment horizontal="center" wrapText="1"/>
    </xf>
    <xf numFmtId="0" fontId="31" fillId="0" borderId="1" xfId="4" applyFont="1" applyFill="1" applyBorder="1" applyAlignment="1" applyProtection="1">
      <alignment horizontal="center" wrapText="1"/>
    </xf>
    <xf numFmtId="0" fontId="31" fillId="0" borderId="28" xfId="4" applyFont="1" applyFill="1" applyBorder="1" applyAlignment="1" applyProtection="1">
      <alignment horizontal="center" wrapText="1"/>
    </xf>
    <xf numFmtId="0" fontId="26" fillId="0" borderId="1" xfId="4" applyFont="1" applyFill="1" applyBorder="1" applyAlignment="1" applyProtection="1">
      <alignment horizontal="center" wrapText="1"/>
    </xf>
    <xf numFmtId="0" fontId="26" fillId="2" borderId="50" xfId="48" applyFont="1" applyFill="1" applyBorder="1" applyAlignment="1" applyProtection="1">
      <alignment horizontal="center" wrapText="1"/>
    </xf>
    <xf numFmtId="0" fontId="96" fillId="2" borderId="50" xfId="48" applyFont="1" applyFill="1" applyBorder="1" applyAlignment="1" applyProtection="1">
      <alignment horizontal="center" wrapText="1"/>
    </xf>
    <xf numFmtId="0" fontId="92" fillId="2" borderId="50" xfId="48" applyFont="1" applyFill="1" applyBorder="1" applyAlignment="1" applyProtection="1">
      <alignment horizontal="center" wrapText="1"/>
    </xf>
    <xf numFmtId="0" fontId="92" fillId="0" borderId="40" xfId="48" applyFont="1" applyBorder="1" applyAlignment="1" applyProtection="1">
      <alignment horizontal="center"/>
    </xf>
    <xf numFmtId="0" fontId="96" fillId="0" borderId="86" xfId="48" applyFont="1" applyFill="1" applyBorder="1" applyAlignment="1" applyProtection="1">
      <alignment horizontal="center" wrapText="1"/>
    </xf>
    <xf numFmtId="38" fontId="42" fillId="7" borderId="86" xfId="48" applyNumberFormat="1" applyFont="1" applyFill="1" applyBorder="1" applyAlignment="1" applyProtection="1">
      <alignment horizontal="center" vertical="center"/>
      <protection locked="0"/>
    </xf>
    <xf numFmtId="0" fontId="31" fillId="33" borderId="28" xfId="4" applyFont="1" applyFill="1" applyBorder="1" applyAlignment="1" applyProtection="1">
      <alignment horizontal="center" wrapText="1"/>
    </xf>
    <xf numFmtId="8" fontId="32" fillId="0" borderId="86" xfId="4" applyNumberFormat="1" applyFont="1" applyFill="1" applyBorder="1" applyAlignment="1" applyProtection="1">
      <alignment horizontal="right" vertical="center" wrapText="1"/>
    </xf>
    <xf numFmtId="10" fontId="32" fillId="0" borderId="86" xfId="4" applyNumberFormat="1" applyFont="1" applyFill="1" applyBorder="1" applyAlignment="1" applyProtection="1">
      <alignment horizontal="center" vertical="center" wrapText="1"/>
    </xf>
    <xf numFmtId="8" fontId="17" fillId="0" borderId="85" xfId="4" applyNumberFormat="1" applyFont="1" applyFill="1" applyBorder="1" applyAlignment="1" applyProtection="1">
      <alignment horizontal="right" vertical="center"/>
    </xf>
    <xf numFmtId="8" fontId="17" fillId="0" borderId="43" xfId="4" applyNumberFormat="1" applyFont="1" applyFill="1" applyBorder="1" applyAlignment="1" applyProtection="1">
      <alignment horizontal="right" vertical="center"/>
    </xf>
    <xf numFmtId="0" fontId="26" fillId="2" borderId="51" xfId="48" applyFont="1" applyFill="1" applyBorder="1" applyAlignment="1" applyProtection="1">
      <alignment horizontal="center" wrapText="1"/>
    </xf>
    <xf numFmtId="167" fontId="42" fillId="0" borderId="30" xfId="48" applyNumberFormat="1" applyFont="1" applyFill="1" applyBorder="1" applyAlignment="1" applyProtection="1">
      <alignment horizontal="center" vertical="center"/>
    </xf>
    <xf numFmtId="167" fontId="96" fillId="0" borderId="56" xfId="48" applyNumberFormat="1" applyFont="1" applyBorder="1" applyAlignment="1" applyProtection="1">
      <alignment horizontal="center" vertical="center"/>
    </xf>
    <xf numFmtId="38" fontId="17" fillId="0" borderId="0" xfId="11" applyNumberFormat="1"/>
    <xf numFmtId="0" fontId="59" fillId="0" borderId="0" xfId="41" applyFont="1" applyAlignment="1">
      <alignment wrapText="1"/>
    </xf>
    <xf numFmtId="0" fontId="26" fillId="0" borderId="0" xfId="0" applyFont="1" applyAlignment="1">
      <alignment horizontal="left" vertical="center"/>
    </xf>
    <xf numFmtId="0" fontId="42" fillId="0" borderId="0" xfId="0" applyFont="1" applyFill="1" applyBorder="1"/>
    <xf numFmtId="0" fontId="0" fillId="0" borderId="0" xfId="0" applyAlignment="1">
      <alignment vertical="center"/>
    </xf>
    <xf numFmtId="0" fontId="0" fillId="0" borderId="0" xfId="0" applyAlignment="1">
      <alignment horizontal="left" vertical="center"/>
    </xf>
    <xf numFmtId="0" fontId="42" fillId="0" borderId="0" xfId="7" applyFont="1" applyAlignment="1">
      <alignment horizontal="left" vertical="center"/>
    </xf>
    <xf numFmtId="0" fontId="21" fillId="0" borderId="0" xfId="0" applyFont="1" applyAlignment="1">
      <alignment horizontal="left" vertical="center"/>
    </xf>
    <xf numFmtId="0" fontId="48" fillId="0" borderId="19" xfId="0" applyFont="1" applyBorder="1" applyAlignment="1">
      <alignment vertical="center"/>
    </xf>
    <xf numFmtId="0" fontId="48" fillId="0" borderId="4" xfId="0" applyFont="1" applyBorder="1" applyAlignment="1">
      <alignment vertical="center"/>
    </xf>
    <xf numFmtId="0" fontId="0" fillId="0" borderId="4" xfId="0" applyBorder="1" applyAlignment="1">
      <alignment horizontal="center"/>
    </xf>
    <xf numFmtId="0" fontId="0" fillId="0" borderId="20" xfId="0" applyBorder="1" applyAlignment="1">
      <alignment horizontal="center"/>
    </xf>
    <xf numFmtId="0" fontId="21" fillId="4" borderId="75" xfId="20" applyFont="1" applyFill="1" applyBorder="1" applyAlignment="1">
      <alignment vertical="center" wrapText="1"/>
    </xf>
    <xf numFmtId="0" fontId="53" fillId="4" borderId="75" xfId="20" applyFont="1" applyFill="1" applyBorder="1" applyAlignment="1">
      <alignment horizontal="center"/>
    </xf>
    <xf numFmtId="0" fontId="53" fillId="4" borderId="75" xfId="20" applyFont="1" applyFill="1" applyBorder="1"/>
    <xf numFmtId="0" fontId="37" fillId="0" borderId="11" xfId="20" applyFont="1" applyBorder="1" applyAlignment="1">
      <alignment vertical="center" wrapText="1"/>
    </xf>
    <xf numFmtId="0" fontId="53" fillId="0" borderId="11" xfId="20" applyFont="1" applyBorder="1"/>
    <xf numFmtId="0" fontId="37" fillId="0" borderId="11" xfId="20" applyFont="1" applyBorder="1" applyAlignment="1">
      <alignment vertical="center"/>
    </xf>
    <xf numFmtId="0" fontId="21" fillId="0" borderId="0" xfId="29" applyFont="1">
      <alignment horizontal="left" vertical="center"/>
    </xf>
    <xf numFmtId="0" fontId="17" fillId="0" borderId="0" xfId="20" applyAlignment="1">
      <alignment horizontal="left"/>
    </xf>
    <xf numFmtId="0" fontId="53" fillId="0" borderId="0" xfId="20" applyFont="1"/>
    <xf numFmtId="0" fontId="109" fillId="0" borderId="0" xfId="20" applyFont="1" applyAlignment="1">
      <alignment horizontal="left"/>
    </xf>
    <xf numFmtId="0" fontId="42" fillId="0" borderId="0" xfId="11" applyFont="1" applyAlignment="1">
      <alignment horizontal="left"/>
    </xf>
    <xf numFmtId="0" fontId="21" fillId="4" borderId="75" xfId="20" applyFont="1" applyFill="1" applyBorder="1" applyAlignment="1">
      <alignment horizontal="center"/>
    </xf>
    <xf numFmtId="0" fontId="21" fillId="4" borderId="75" xfId="20" applyFont="1" applyFill="1" applyBorder="1"/>
    <xf numFmtId="0" fontId="21" fillId="0" borderId="11" xfId="20" applyFont="1" applyBorder="1" applyAlignment="1">
      <alignment vertical="center" wrapText="1"/>
    </xf>
    <xf numFmtId="0" fontId="21" fillId="0" borderId="11" xfId="20" applyFont="1" applyBorder="1"/>
    <xf numFmtId="0" fontId="21" fillId="0" borderId="11" xfId="20" applyFont="1" applyBorder="1" applyAlignment="1">
      <alignment vertical="center"/>
    </xf>
    <xf numFmtId="0" fontId="21" fillId="0" borderId="0" xfId="20" applyFont="1"/>
    <xf numFmtId="0" fontId="53" fillId="0" borderId="0" xfId="11" applyFont="1"/>
    <xf numFmtId="0" fontId="42" fillId="0" borderId="0" xfId="0" applyFont="1" applyAlignment="1">
      <alignment horizontal="center" vertical="center"/>
    </xf>
    <xf numFmtId="0" fontId="42" fillId="4" borderId="0" xfId="0" applyFont="1" applyFill="1" applyAlignment="1">
      <alignment horizontal="center" vertical="center"/>
    </xf>
    <xf numFmtId="166" fontId="42" fillId="4" borderId="0" xfId="0" applyNumberFormat="1" applyFont="1" applyFill="1" applyAlignment="1">
      <alignment horizontal="center" vertical="center"/>
    </xf>
    <xf numFmtId="2" fontId="42" fillId="0" borderId="0" xfId="0" applyNumberFormat="1" applyFont="1" applyAlignment="1">
      <alignment horizontal="center" vertical="center"/>
    </xf>
    <xf numFmtId="0" fontId="42" fillId="0" borderId="0" xfId="0" applyFont="1" applyAlignment="1">
      <alignment horizontal="left" vertical="center"/>
    </xf>
    <xf numFmtId="164" fontId="37" fillId="0" borderId="6" xfId="20" applyNumberFormat="1" applyFont="1" applyBorder="1" applyAlignment="1">
      <alignment horizontal="right" vertical="center"/>
    </xf>
    <xf numFmtId="0" fontId="37" fillId="7" borderId="79" xfId="20" applyFont="1" applyFill="1" applyBorder="1" applyAlignment="1" applyProtection="1">
      <alignment horizontal="center" vertical="center"/>
      <protection locked="0"/>
    </xf>
    <xf numFmtId="10" fontId="37" fillId="7" borderId="79" xfId="20" applyNumberFormat="1" applyFont="1" applyFill="1" applyBorder="1" applyAlignment="1" applyProtection="1">
      <alignment horizontal="center" vertical="center"/>
      <protection locked="0"/>
    </xf>
    <xf numFmtId="1" fontId="42" fillId="0" borderId="0" xfId="0" applyNumberFormat="1" applyFont="1" applyAlignment="1">
      <alignment horizontal="center" vertical="center"/>
    </xf>
    <xf numFmtId="0" fontId="17" fillId="0" borderId="0" xfId="0" applyFont="1"/>
    <xf numFmtId="0" fontId="112" fillId="0" borderId="0" xfId="0" applyFont="1"/>
    <xf numFmtId="0" fontId="17" fillId="0" borderId="0" xfId="0" applyFont="1" applyAlignment="1">
      <alignment horizontal="left" vertical="center"/>
    </xf>
    <xf numFmtId="169" fontId="38" fillId="0" borderId="0" xfId="48" applyNumberFormat="1" applyFont="1">
      <alignment horizontal="left" vertical="center"/>
    </xf>
    <xf numFmtId="1" fontId="30" fillId="0" borderId="0" xfId="48" applyNumberFormat="1" applyFont="1" applyAlignment="1">
      <alignment horizontal="center" vertical="center"/>
    </xf>
    <xf numFmtId="9" fontId="47" fillId="0" borderId="0" xfId="12" applyFont="1" applyAlignment="1">
      <alignment horizontal="left" vertical="center"/>
    </xf>
    <xf numFmtId="0" fontId="38" fillId="0" borderId="0" xfId="46" applyFont="1" applyAlignment="1">
      <alignment horizontal="left" vertical="center"/>
    </xf>
    <xf numFmtId="3" fontId="21" fillId="0" borderId="84" xfId="56" applyNumberFormat="1" applyFont="1" applyBorder="1" applyAlignment="1">
      <alignment horizontal="center" vertical="center" wrapText="1"/>
    </xf>
    <xf numFmtId="166" fontId="23" fillId="0" borderId="42" xfId="4" applyNumberFormat="1" applyFont="1" applyBorder="1" applyAlignment="1">
      <alignment horizontal="center" vertical="center"/>
    </xf>
    <xf numFmtId="166" fontId="23" fillId="0" borderId="36" xfId="4" applyNumberFormat="1" applyFont="1" applyBorder="1" applyAlignment="1">
      <alignment vertical="center"/>
    </xf>
    <xf numFmtId="0" fontId="21" fillId="0" borderId="14" xfId="0" applyFont="1" applyFill="1" applyBorder="1" applyAlignment="1" applyProtection="1">
      <alignment horizontal="left" vertical="top" wrapText="1"/>
      <protection locked="0"/>
    </xf>
    <xf numFmtId="0" fontId="0" fillId="0" borderId="84" xfId="44" applyNumberFormat="1" applyFont="1" applyFill="1" applyBorder="1" applyAlignment="1" applyProtection="1">
      <alignment horizontal="left" vertical="center" shrinkToFit="1"/>
    </xf>
    <xf numFmtId="0" fontId="0" fillId="0" borderId="84" xfId="44" applyNumberFormat="1" applyFont="1" applyFill="1" applyBorder="1" applyAlignment="1" applyProtection="1">
      <alignment horizontal="right" vertical="center" shrinkToFit="1"/>
    </xf>
    <xf numFmtId="0" fontId="21" fillId="0" borderId="84" xfId="44" applyNumberFormat="1" applyFont="1" applyFill="1" applyBorder="1" applyAlignment="1" applyProtection="1">
      <alignment horizontal="left" vertical="center" shrinkToFit="1"/>
    </xf>
    <xf numFmtId="0" fontId="21" fillId="0" borderId="84" xfId="44" applyNumberFormat="1" applyFont="1" applyFill="1" applyBorder="1" applyAlignment="1" applyProtection="1">
      <alignment horizontal="right" vertical="center" shrinkToFit="1"/>
    </xf>
    <xf numFmtId="167" fontId="32" fillId="7" borderId="13" xfId="4" applyNumberFormat="1" applyFont="1" applyFill="1" applyBorder="1" applyAlignment="1" applyProtection="1">
      <alignment horizontal="center" vertical="center" wrapText="1"/>
      <protection locked="0"/>
    </xf>
    <xf numFmtId="167" fontId="32" fillId="0" borderId="85" xfId="4" applyNumberFormat="1" applyFont="1" applyFill="1" applyBorder="1" applyAlignment="1" applyProtection="1">
      <alignment horizontal="center" vertical="center" wrapText="1"/>
    </xf>
    <xf numFmtId="167" fontId="32" fillId="7" borderId="42" xfId="4" applyNumberFormat="1" applyFont="1" applyFill="1" applyBorder="1" applyAlignment="1" applyProtection="1">
      <alignment horizontal="center" vertical="center" wrapText="1"/>
      <protection locked="0"/>
    </xf>
    <xf numFmtId="167" fontId="32" fillId="7" borderId="44" xfId="4" applyNumberFormat="1" applyFont="1" applyFill="1" applyBorder="1" applyAlignment="1" applyProtection="1">
      <alignment horizontal="center" vertical="center" wrapText="1"/>
      <protection locked="0"/>
    </xf>
    <xf numFmtId="167" fontId="32" fillId="0" borderId="43" xfId="4" applyNumberFormat="1" applyFont="1" applyFill="1" applyBorder="1" applyAlignment="1" applyProtection="1">
      <alignment horizontal="center" vertical="center" wrapText="1"/>
    </xf>
    <xf numFmtId="1" fontId="32" fillId="7" borderId="44" xfId="4" applyNumberFormat="1" applyFont="1" applyFill="1" applyBorder="1" applyAlignment="1" applyProtection="1">
      <alignment horizontal="center" vertical="center" wrapText="1"/>
      <protection locked="0"/>
    </xf>
    <xf numFmtId="0" fontId="26" fillId="0" borderId="33" xfId="4" applyFont="1" applyFill="1" applyBorder="1" applyAlignment="1" applyProtection="1">
      <alignment horizontal="center" wrapText="1"/>
    </xf>
    <xf numFmtId="0" fontId="54" fillId="0" borderId="0" xfId="53" applyFont="1" applyBorder="1" applyAlignment="1">
      <alignment vertical="center" wrapText="1"/>
    </xf>
    <xf numFmtId="0" fontId="54" fillId="0" borderId="25" xfId="53" applyFont="1" applyBorder="1" applyAlignment="1">
      <alignment vertical="center" wrapText="1"/>
    </xf>
    <xf numFmtId="0" fontId="10" fillId="0" borderId="0" xfId="42" applyAlignment="1">
      <alignment horizontal="left" vertical="center"/>
    </xf>
    <xf numFmtId="6" fontId="17" fillId="1" borderId="75" xfId="11" applyNumberFormat="1" applyFill="1" applyBorder="1" applyAlignment="1">
      <alignment vertical="center" shrinkToFit="1"/>
    </xf>
    <xf numFmtId="0" fontId="64" fillId="0" borderId="0" xfId="638" applyFont="1"/>
    <xf numFmtId="0" fontId="86" fillId="0" borderId="0" xfId="638" applyFont="1"/>
    <xf numFmtId="0" fontId="47" fillId="0" borderId="84" xfId="11" applyFont="1" applyBorder="1" applyAlignment="1">
      <alignment vertical="center"/>
    </xf>
    <xf numFmtId="0" fontId="21" fillId="0" borderId="75" xfId="4" applyFont="1" applyFill="1" applyBorder="1" applyAlignment="1">
      <alignment horizontal="center" vertical="center"/>
    </xf>
    <xf numFmtId="0" fontId="47" fillId="7" borderId="12" xfId="44" applyFont="1" applyBorder="1" applyAlignment="1">
      <alignment horizontal="center" vertical="center" wrapText="1"/>
      <protection locked="0"/>
    </xf>
    <xf numFmtId="0" fontId="31" fillId="33" borderId="33" xfId="4" applyFont="1" applyFill="1" applyBorder="1" applyAlignment="1" applyProtection="1">
      <alignment horizontal="center" wrapText="1"/>
    </xf>
    <xf numFmtId="0" fontId="31" fillId="33" borderId="48" xfId="4" applyFont="1" applyFill="1" applyBorder="1" applyAlignment="1" applyProtection="1">
      <alignment horizontal="center" wrapText="1"/>
    </xf>
    <xf numFmtId="0" fontId="26" fillId="39" borderId="1" xfId="4" applyFont="1" applyFill="1" applyBorder="1" applyAlignment="1" applyProtection="1">
      <alignment horizontal="center" wrapText="1"/>
    </xf>
    <xf numFmtId="0" fontId="96" fillId="0" borderId="13" xfId="48" applyFont="1" applyFill="1" applyBorder="1" applyAlignment="1" applyProtection="1">
      <alignment horizontal="center" wrapText="1"/>
    </xf>
    <xf numFmtId="0" fontId="42" fillId="0" borderId="0" xfId="0" applyFont="1" applyAlignment="1">
      <alignment wrapText="1"/>
    </xf>
    <xf numFmtId="0" fontId="96" fillId="0" borderId="49" xfId="48" applyFont="1" applyFill="1" applyBorder="1" applyAlignment="1" applyProtection="1">
      <alignment horizontal="center" wrapText="1"/>
    </xf>
    <xf numFmtId="38" fontId="42" fillId="7" borderId="13" xfId="48" applyNumberFormat="1" applyFont="1" applyFill="1" applyBorder="1" applyAlignment="1" applyProtection="1">
      <alignment horizontal="center" vertical="center" wrapText="1"/>
      <protection locked="0"/>
    </xf>
    <xf numFmtId="38" fontId="42" fillId="7" borderId="42" xfId="48" applyNumberFormat="1" applyFont="1" applyFill="1" applyBorder="1" applyAlignment="1" applyProtection="1">
      <alignment horizontal="center" vertical="center" wrapText="1"/>
      <protection locked="0"/>
    </xf>
    <xf numFmtId="0" fontId="96" fillId="0" borderId="27" xfId="48" applyFont="1" applyFill="1" applyBorder="1" applyAlignment="1" applyProtection="1">
      <alignment horizontal="center" wrapText="1"/>
    </xf>
    <xf numFmtId="167" fontId="42" fillId="7" borderId="49" xfId="48" applyNumberFormat="1" applyFont="1" applyFill="1" applyBorder="1" applyAlignment="1" applyProtection="1">
      <alignment horizontal="center" vertical="center"/>
      <protection locked="0"/>
    </xf>
    <xf numFmtId="167" fontId="42" fillId="7" borderId="30" xfId="48" applyNumberFormat="1" applyFont="1" applyFill="1" applyBorder="1" applyAlignment="1" applyProtection="1">
      <alignment horizontal="center" vertical="center"/>
      <protection locked="0"/>
    </xf>
    <xf numFmtId="0" fontId="96" fillId="0" borderId="26" xfId="48" applyFont="1" applyFill="1" applyBorder="1" applyAlignment="1" applyProtection="1">
      <alignment horizontal="center" wrapText="1"/>
    </xf>
    <xf numFmtId="37" fontId="119" fillId="0" borderId="0" xfId="0" applyNumberFormat="1" applyFont="1"/>
    <xf numFmtId="9" fontId="45" fillId="0" borderId="0" xfId="0" applyNumberFormat="1" applyFont="1"/>
    <xf numFmtId="0" fontId="37" fillId="0" borderId="0" xfId="0" applyFont="1"/>
    <xf numFmtId="0" fontId="37" fillId="0" borderId="0" xfId="0" applyFont="1" applyAlignment="1">
      <alignment horizontal="center"/>
    </xf>
    <xf numFmtId="37" fontId="120" fillId="0" borderId="0" xfId="0" applyNumberFormat="1" applyFont="1" applyAlignment="1">
      <alignment horizontal="left"/>
    </xf>
    <xf numFmtId="38" fontId="37" fillId="0" borderId="0" xfId="0" applyNumberFormat="1" applyFont="1" applyAlignment="1">
      <alignment horizontal="right"/>
    </xf>
    <xf numFmtId="38" fontId="24" fillId="0" borderId="0" xfId="0" applyNumberFormat="1" applyFont="1" applyAlignment="1">
      <alignment horizontal="right"/>
    </xf>
    <xf numFmtId="37" fontId="119" fillId="0" borderId="0" xfId="0" applyNumberFormat="1" applyFont="1" applyAlignment="1">
      <alignment horizontal="left"/>
    </xf>
    <xf numFmtId="37" fontId="119" fillId="0" borderId="0" xfId="24" applyNumberFormat="1" applyFont="1" applyAlignment="1">
      <alignment horizontal="left" vertical="center"/>
    </xf>
    <xf numFmtId="38" fontId="37" fillId="0" borderId="0" xfId="24" applyNumberFormat="1" applyFont="1" applyAlignment="1">
      <alignment horizontal="right" vertical="center"/>
    </xf>
    <xf numFmtId="38" fontId="24" fillId="0" borderId="0" xfId="24" applyNumberFormat="1" applyFont="1" applyAlignment="1">
      <alignment horizontal="right" vertical="center"/>
    </xf>
    <xf numFmtId="0" fontId="17" fillId="0" borderId="0" xfId="24" applyAlignment="1">
      <alignment vertical="center"/>
    </xf>
    <xf numFmtId="39" fontId="119" fillId="0" borderId="0" xfId="0" applyNumberFormat="1" applyFont="1" applyAlignment="1">
      <alignment horizontal="left"/>
    </xf>
    <xf numFmtId="0" fontId="120" fillId="0" borderId="0" xfId="0" applyFont="1"/>
    <xf numFmtId="40" fontId="24" fillId="0" borderId="0" xfId="0" applyNumberFormat="1" applyFont="1" applyAlignment="1">
      <alignment horizontal="right"/>
    </xf>
    <xf numFmtId="37" fontId="121" fillId="0" borderId="3" xfId="24" applyNumberFormat="1" applyFont="1" applyBorder="1" applyAlignment="1">
      <alignment horizontal="left" vertical="center"/>
    </xf>
    <xf numFmtId="0" fontId="47" fillId="0" borderId="0" xfId="643" applyFont="1"/>
    <xf numFmtId="0" fontId="21" fillId="0" borderId="26" xfId="4" applyFont="1" applyBorder="1" applyAlignment="1">
      <alignment vertical="center"/>
    </xf>
    <xf numFmtId="0" fontId="21" fillId="0" borderId="7" xfId="4" applyFont="1" applyBorder="1" applyAlignment="1">
      <alignment vertical="center"/>
    </xf>
    <xf numFmtId="166" fontId="23" fillId="0" borderId="66" xfId="48" applyNumberFormat="1" applyFont="1" applyBorder="1" applyAlignment="1">
      <alignment horizontal="center" vertical="center"/>
    </xf>
    <xf numFmtId="166" fontId="23" fillId="0" borderId="84" xfId="11" applyNumberFormat="1" applyFont="1" applyBorder="1" applyAlignment="1">
      <alignment horizontal="center" vertical="center"/>
    </xf>
    <xf numFmtId="0" fontId="96" fillId="38" borderId="20" xfId="48" applyFont="1" applyFill="1" applyBorder="1" applyAlignment="1" applyProtection="1">
      <alignment horizontal="center" wrapText="1"/>
    </xf>
    <xf numFmtId="0" fontId="96" fillId="37" borderId="49" xfId="48" applyFont="1" applyFill="1" applyBorder="1" applyAlignment="1" applyProtection="1">
      <alignment horizontal="center" wrapText="1"/>
    </xf>
    <xf numFmtId="0" fontId="96" fillId="34" borderId="13" xfId="48" applyFont="1" applyFill="1" applyBorder="1" applyAlignment="1" applyProtection="1">
      <alignment horizontal="center" wrapText="1"/>
    </xf>
    <xf numFmtId="164" fontId="42" fillId="0" borderId="13" xfId="48" applyNumberFormat="1" applyFont="1" applyBorder="1" applyAlignment="1" applyProtection="1">
      <alignment horizontal="right" vertical="center"/>
    </xf>
    <xf numFmtId="6" fontId="42" fillId="7" borderId="49" xfId="48" applyNumberFormat="1" applyFont="1" applyFill="1" applyBorder="1" applyAlignment="1" applyProtection="1">
      <alignment horizontal="right" vertical="center"/>
      <protection locked="0"/>
    </xf>
    <xf numFmtId="6" fontId="42" fillId="7" borderId="27" xfId="48" applyNumberFormat="1" applyFont="1" applyFill="1" applyBorder="1" applyAlignment="1" applyProtection="1">
      <alignment horizontal="right" vertical="center"/>
      <protection locked="0"/>
    </xf>
    <xf numFmtId="164" fontId="42" fillId="0" borderId="42" xfId="48" applyNumberFormat="1" applyFont="1" applyBorder="1" applyAlignment="1" applyProtection="1">
      <alignment horizontal="right" vertical="center"/>
    </xf>
    <xf numFmtId="6" fontId="42" fillId="7" borderId="30" xfId="48" applyNumberFormat="1" applyFont="1" applyFill="1" applyBorder="1" applyAlignment="1" applyProtection="1">
      <alignment horizontal="right" vertical="center"/>
      <protection locked="0"/>
    </xf>
    <xf numFmtId="6" fontId="42" fillId="7" borderId="32" xfId="48" applyNumberFormat="1" applyFont="1" applyFill="1" applyBorder="1" applyAlignment="1" applyProtection="1">
      <alignment horizontal="right" vertical="center"/>
      <protection locked="0"/>
    </xf>
    <xf numFmtId="6" fontId="42" fillId="7" borderId="26" xfId="48" applyNumberFormat="1" applyFont="1" applyFill="1" applyBorder="1" applyAlignment="1" applyProtection="1">
      <alignment horizontal="right" vertical="center"/>
      <protection locked="0"/>
    </xf>
    <xf numFmtId="6" fontId="42" fillId="7" borderId="29" xfId="48" applyNumberFormat="1" applyFont="1" applyFill="1" applyBorder="1" applyAlignment="1" applyProtection="1">
      <alignment horizontal="right" vertical="center"/>
      <protection locked="0"/>
    </xf>
    <xf numFmtId="0" fontId="122" fillId="0" borderId="13" xfId="11" applyFont="1" applyBorder="1" applyAlignment="1">
      <alignment horizontal="center" vertical="center"/>
    </xf>
    <xf numFmtId="0" fontId="17" fillId="0" borderId="33" xfId="11" applyFill="1" applyBorder="1" applyAlignment="1" applyProtection="1">
      <alignment horizontal="center" vertical="center" shrinkToFit="1"/>
      <protection locked="0"/>
    </xf>
    <xf numFmtId="0" fontId="17" fillId="0" borderId="13" xfId="11" applyFill="1" applyBorder="1" applyAlignment="1" applyProtection="1">
      <alignment horizontal="center" vertical="center" shrinkToFit="1"/>
      <protection locked="0"/>
    </xf>
    <xf numFmtId="165" fontId="37" fillId="0" borderId="0" xfId="11" applyNumberFormat="1" applyFont="1" applyFill="1" applyAlignment="1" applyProtection="1">
      <alignment shrinkToFit="1"/>
      <protection locked="0"/>
    </xf>
    <xf numFmtId="38" fontId="31" fillId="0" borderId="82" xfId="4" applyNumberFormat="1" applyFont="1" applyFill="1" applyBorder="1" applyAlignment="1">
      <alignment horizontal="center" vertical="center" wrapText="1"/>
    </xf>
    <xf numFmtId="38" fontId="31" fillId="0" borderId="75" xfId="4" applyNumberFormat="1" applyFont="1" applyFill="1" applyBorder="1" applyAlignment="1">
      <alignment horizontal="center" vertical="center" wrapText="1"/>
    </xf>
    <xf numFmtId="38" fontId="31" fillId="0" borderId="76" xfId="4" applyNumberFormat="1" applyFont="1" applyFill="1" applyBorder="1" applyAlignment="1" applyProtection="1">
      <alignment horizontal="center" vertical="center" wrapText="1"/>
    </xf>
    <xf numFmtId="38" fontId="119" fillId="0" borderId="0" xfId="0" applyNumberFormat="1" applyFont="1" applyBorder="1" applyAlignment="1">
      <alignment horizontal="right" vertical="center"/>
    </xf>
    <xf numFmtId="38" fontId="37" fillId="7" borderId="0" xfId="24" applyNumberFormat="1" applyFont="1" applyFill="1" applyAlignment="1" applyProtection="1">
      <alignment horizontal="right" vertical="center"/>
      <protection locked="0"/>
    </xf>
    <xf numFmtId="164" fontId="21" fillId="0" borderId="20" xfId="48" applyNumberFormat="1" applyFont="1" applyFill="1" applyBorder="1" applyAlignment="1">
      <alignment horizontal="right" vertical="center"/>
    </xf>
    <xf numFmtId="164" fontId="21" fillId="0" borderId="1" xfId="48" applyNumberFormat="1" applyFont="1" applyFill="1" applyBorder="1" applyAlignment="1">
      <alignment horizontal="right" vertical="center"/>
    </xf>
    <xf numFmtId="164" fontId="21" fillId="0" borderId="49" xfId="48" applyNumberFormat="1" applyFont="1" applyFill="1" applyBorder="1" applyAlignment="1">
      <alignment vertical="center"/>
    </xf>
    <xf numFmtId="164" fontId="48" fillId="0" borderId="38" xfId="48" applyNumberFormat="1" applyFont="1" applyFill="1" applyBorder="1" applyAlignment="1">
      <alignment horizontal="right" vertical="center"/>
    </xf>
    <xf numFmtId="0" fontId="47" fillId="7" borderId="1" xfId="44" applyFont="1" applyBorder="1" applyAlignment="1">
      <alignment horizontal="center" vertical="center" wrapText="1"/>
      <protection locked="0"/>
    </xf>
    <xf numFmtId="0" fontId="48" fillId="0" borderId="51" xfId="48" applyFont="1" applyFill="1" applyBorder="1" applyAlignment="1">
      <alignment horizontal="center" vertical="center" wrapText="1"/>
    </xf>
    <xf numFmtId="164" fontId="30" fillId="0" borderId="1" xfId="48" applyNumberFormat="1" applyFont="1" applyFill="1" applyBorder="1" applyAlignment="1">
      <alignment horizontal="right" vertical="center"/>
    </xf>
    <xf numFmtId="164" fontId="30" fillId="0" borderId="20" xfId="48" applyNumberFormat="1" applyFont="1" applyFill="1" applyBorder="1" applyAlignment="1">
      <alignment horizontal="right" vertical="center"/>
    </xf>
    <xf numFmtId="164" fontId="30" fillId="0" borderId="38" xfId="4" applyNumberFormat="1" applyFont="1" applyFill="1" applyBorder="1" applyAlignment="1">
      <alignment horizontal="right" vertical="center"/>
    </xf>
    <xf numFmtId="164" fontId="30" fillId="0" borderId="56" xfId="4" applyNumberFormat="1" applyFont="1" applyFill="1" applyBorder="1" applyAlignment="1">
      <alignment horizontal="right" vertical="center"/>
    </xf>
    <xf numFmtId="0" fontId="47" fillId="7" borderId="8" xfId="44" applyFont="1" applyBorder="1" applyAlignment="1">
      <alignment horizontal="center" vertical="center" wrapText="1"/>
      <protection locked="0"/>
    </xf>
    <xf numFmtId="164" fontId="30" fillId="0" borderId="43" xfId="48" applyNumberFormat="1" applyFont="1" applyFill="1" applyBorder="1" applyAlignment="1">
      <alignment horizontal="right" vertical="center"/>
    </xf>
    <xf numFmtId="164" fontId="48" fillId="0" borderId="44" xfId="48" applyNumberFormat="1" applyFont="1" applyFill="1" applyBorder="1" applyAlignment="1" applyProtection="1">
      <alignment vertical="center"/>
    </xf>
    <xf numFmtId="164" fontId="48" fillId="0" borderId="32" xfId="48" applyNumberFormat="1" applyFont="1" applyFill="1" applyBorder="1" applyAlignment="1" applyProtection="1">
      <alignment vertical="center"/>
    </xf>
    <xf numFmtId="0" fontId="48" fillId="0" borderId="50" xfId="48" applyFont="1" applyFill="1" applyBorder="1" applyAlignment="1">
      <alignment horizontal="center" vertical="center" wrapText="1"/>
    </xf>
    <xf numFmtId="0" fontId="48" fillId="33" borderId="18" xfId="48" applyFont="1" applyFill="1" applyBorder="1" applyAlignment="1">
      <alignment horizontal="center" vertical="center" wrapText="1"/>
    </xf>
    <xf numFmtId="164" fontId="21" fillId="7" borderId="49" xfId="48" applyNumberFormat="1" applyFont="1" applyFill="1" applyBorder="1" applyAlignment="1" applyProtection="1">
      <alignment vertical="center"/>
      <protection locked="0"/>
    </xf>
    <xf numFmtId="164" fontId="47" fillId="7" borderId="49" xfId="48" applyNumberFormat="1" applyFont="1" applyFill="1" applyBorder="1" applyAlignment="1" applyProtection="1">
      <alignment vertical="center"/>
      <protection locked="0"/>
    </xf>
    <xf numFmtId="164" fontId="30" fillId="7" borderId="56" xfId="48" applyNumberFormat="1" applyFont="1" applyFill="1" applyBorder="1" applyAlignment="1" applyProtection="1">
      <alignment vertical="center"/>
      <protection locked="0"/>
    </xf>
    <xf numFmtId="0" fontId="30" fillId="0" borderId="50" xfId="4" applyFont="1" applyBorder="1" applyAlignment="1">
      <alignment horizontal="center" vertical="center" wrapText="1"/>
    </xf>
    <xf numFmtId="164" fontId="17" fillId="34" borderId="35" xfId="48" applyNumberFormat="1" applyFont="1" applyFill="1" applyBorder="1" applyAlignment="1">
      <alignment horizontal="right" vertical="center" wrapText="1"/>
    </xf>
    <xf numFmtId="164" fontId="42" fillId="37" borderId="56" xfId="48" applyNumberFormat="1" applyFont="1" applyFill="1" applyBorder="1" applyAlignment="1">
      <alignment horizontal="right" vertical="center"/>
    </xf>
    <xf numFmtId="164" fontId="42" fillId="38" borderId="55" xfId="48" applyNumberFormat="1" applyFont="1" applyFill="1" applyBorder="1" applyAlignment="1">
      <alignment horizontal="right" vertical="center"/>
    </xf>
    <xf numFmtId="164" fontId="42" fillId="0" borderId="12" xfId="48" applyNumberFormat="1" applyFont="1" applyBorder="1" applyAlignment="1">
      <alignment horizontal="right" vertical="center"/>
    </xf>
    <xf numFmtId="0" fontId="47" fillId="0" borderId="11" xfId="48" applyBorder="1">
      <alignment horizontal="left" vertical="center"/>
    </xf>
    <xf numFmtId="164" fontId="42" fillId="0" borderId="36" xfId="48" applyNumberFormat="1" applyFont="1" applyBorder="1" applyAlignment="1">
      <alignment horizontal="right" vertical="center"/>
    </xf>
    <xf numFmtId="0" fontId="31" fillId="0" borderId="45" xfId="4" applyFont="1" applyBorder="1" applyAlignment="1">
      <alignment horizontal="right" vertical="center" wrapText="1"/>
    </xf>
    <xf numFmtId="0" fontId="31" fillId="0" borderId="50" xfId="4" applyFont="1" applyFill="1" applyBorder="1" applyAlignment="1">
      <alignment horizontal="center" vertical="center" wrapText="1"/>
    </xf>
    <xf numFmtId="164" fontId="31" fillId="0" borderId="40" xfId="4" applyNumberFormat="1" applyFont="1" applyFill="1" applyBorder="1" applyAlignment="1" applyProtection="1">
      <alignment horizontal="right" vertical="center" wrapText="1"/>
    </xf>
    <xf numFmtId="0" fontId="31" fillId="0" borderId="16" xfId="4" applyFont="1" applyBorder="1" applyAlignment="1">
      <alignment vertical="center" wrapText="1"/>
    </xf>
    <xf numFmtId="0" fontId="32" fillId="0" borderId="50" xfId="4" applyFont="1" applyBorder="1" applyAlignment="1">
      <alignment horizontal="center" vertical="center" wrapText="1"/>
    </xf>
    <xf numFmtId="38" fontId="31" fillId="0" borderId="53" xfId="4" applyNumberFormat="1" applyFont="1" applyFill="1" applyBorder="1" applyAlignment="1">
      <alignment horizontal="center" vertical="center" wrapText="1"/>
    </xf>
    <xf numFmtId="0" fontId="31" fillId="0" borderId="16" xfId="4" applyFont="1" applyFill="1" applyBorder="1" applyAlignment="1">
      <alignment horizontal="center" vertical="center" wrapText="1"/>
    </xf>
    <xf numFmtId="38" fontId="31" fillId="0" borderId="45" xfId="4" applyNumberFormat="1" applyFont="1" applyFill="1" applyBorder="1" applyAlignment="1">
      <alignment horizontal="center" vertical="center" wrapText="1"/>
    </xf>
    <xf numFmtId="38" fontId="31" fillId="0" borderId="51" xfId="4" applyNumberFormat="1" applyFont="1" applyFill="1" applyBorder="1" applyAlignment="1">
      <alignment horizontal="center" vertical="center" wrapText="1"/>
    </xf>
    <xf numFmtId="8" fontId="31" fillId="0" borderId="45" xfId="4" applyNumberFormat="1" applyFont="1" applyFill="1" applyBorder="1" applyAlignment="1" applyProtection="1">
      <alignment horizontal="right" vertical="center" wrapText="1"/>
    </xf>
    <xf numFmtId="8" fontId="31" fillId="0" borderId="50" xfId="4" applyNumberFormat="1" applyFont="1" applyFill="1" applyBorder="1" applyAlignment="1" applyProtection="1">
      <alignment horizontal="right" vertical="center" wrapText="1"/>
    </xf>
    <xf numFmtId="38" fontId="31" fillId="0" borderId="51" xfId="4" applyNumberFormat="1" applyFont="1" applyFill="1" applyBorder="1" applyAlignment="1" applyProtection="1">
      <alignment horizontal="center" vertical="center" wrapText="1"/>
    </xf>
    <xf numFmtId="8" fontId="31" fillId="0" borderId="40" xfId="4" applyNumberFormat="1" applyFont="1" applyFill="1" applyBorder="1" applyAlignment="1" applyProtection="1">
      <alignment horizontal="right" vertical="center" wrapText="1"/>
    </xf>
    <xf numFmtId="8" fontId="31" fillId="0" borderId="51" xfId="4" applyNumberFormat="1" applyFont="1" applyFill="1" applyBorder="1" applyAlignment="1" applyProtection="1">
      <alignment horizontal="right" vertical="center" wrapText="1"/>
    </xf>
    <xf numFmtId="9" fontId="31" fillId="0" borderId="40" xfId="4" applyNumberFormat="1" applyFont="1" applyFill="1" applyBorder="1" applyAlignment="1" applyProtection="1">
      <alignment horizontal="center" vertical="center" wrapText="1"/>
    </xf>
    <xf numFmtId="8" fontId="31" fillId="33" borderId="50" xfId="4" applyNumberFormat="1" applyFont="1" applyFill="1" applyBorder="1" applyAlignment="1" applyProtection="1">
      <alignment horizontal="right" vertical="center" wrapText="1"/>
    </xf>
    <xf numFmtId="38" fontId="37" fillId="0" borderId="3" xfId="11" applyNumberFormat="1" applyFont="1" applyFill="1" applyBorder="1" applyAlignment="1" applyProtection="1">
      <alignment shrinkToFit="1"/>
    </xf>
    <xf numFmtId="0" fontId="1" fillId="0" borderId="0" xfId="42" applyFont="1" applyAlignment="1">
      <alignment horizontal="left" vertical="center"/>
    </xf>
    <xf numFmtId="0" fontId="21" fillId="0" borderId="84" xfId="44" applyNumberFormat="1" applyFont="1" applyFill="1" applyBorder="1" applyAlignment="1" applyProtection="1">
      <alignment vertical="center" shrinkToFit="1"/>
    </xf>
    <xf numFmtId="0" fontId="37" fillId="0" borderId="49" xfId="20" applyFont="1" applyFill="1" applyBorder="1" applyAlignment="1" applyProtection="1">
      <alignment horizontal="left" vertical="center"/>
    </xf>
    <xf numFmtId="10" fontId="37" fillId="0" borderId="79" xfId="20" applyNumberFormat="1" applyFont="1" applyFill="1" applyBorder="1" applyAlignment="1" applyProtection="1">
      <alignment horizontal="center" vertical="center"/>
    </xf>
    <xf numFmtId="0" fontId="37" fillId="0" borderId="49" xfId="20" applyFont="1" applyFill="1" applyBorder="1" applyAlignment="1" applyProtection="1">
      <alignment horizontal="center" vertical="center" wrapText="1"/>
    </xf>
    <xf numFmtId="0" fontId="37" fillId="0" borderId="79" xfId="20" applyFont="1" applyFill="1" applyBorder="1" applyAlignment="1" applyProtection="1">
      <alignment horizontal="center" vertical="center"/>
    </xf>
    <xf numFmtId="164" fontId="37" fillId="0" borderId="20" xfId="20" applyNumberFormat="1" applyFont="1" applyFill="1" applyBorder="1" applyAlignment="1" applyProtection="1">
      <alignment horizontal="right" vertical="center"/>
    </xf>
    <xf numFmtId="164" fontId="17" fillId="0" borderId="25" xfId="20" applyNumberFormat="1" applyBorder="1"/>
    <xf numFmtId="164" fontId="117" fillId="0" borderId="84" xfId="4" applyNumberFormat="1" applyFont="1" applyBorder="1" applyAlignment="1">
      <alignment horizontal="right" vertical="center"/>
    </xf>
    <xf numFmtId="38" fontId="37" fillId="0" borderId="0" xfId="24" applyNumberFormat="1" applyFont="1" applyFill="1" applyAlignment="1" applyProtection="1">
      <alignment horizontal="right" vertical="center"/>
    </xf>
    <xf numFmtId="38" fontId="37" fillId="0" borderId="0" xfId="24" applyNumberFormat="1" applyFont="1" applyAlignment="1" applyProtection="1">
      <alignment horizontal="right" vertical="center"/>
    </xf>
    <xf numFmtId="0" fontId="37" fillId="0" borderId="0" xfId="11" applyFont="1"/>
    <xf numFmtId="0" fontId="60" fillId="0" borderId="0" xfId="41" applyFont="1" applyAlignment="1">
      <alignment horizontal="center"/>
    </xf>
    <xf numFmtId="0" fontId="51" fillId="0" borderId="0" xfId="41" applyFont="1" applyAlignment="1">
      <alignment horizontal="center"/>
    </xf>
    <xf numFmtId="0" fontId="47" fillId="0" borderId="84" xfId="44" applyFill="1" applyBorder="1" applyAlignment="1" applyProtection="1">
      <alignment horizontal="right" vertical="center" shrinkToFit="1"/>
    </xf>
    <xf numFmtId="0" fontId="48" fillId="0" borderId="13" xfId="11" applyFont="1" applyBorder="1" applyAlignment="1">
      <alignment horizontal="center" vertical="center" wrapText="1"/>
    </xf>
    <xf numFmtId="0" fontId="47" fillId="0" borderId="13" xfId="11" applyFont="1" applyBorder="1" applyAlignment="1">
      <alignment horizontal="center" vertical="center" wrapText="1"/>
    </xf>
    <xf numFmtId="0" fontId="30" fillId="0" borderId="19" xfId="53" applyFont="1" applyFill="1" applyBorder="1" applyAlignment="1">
      <alignment horizontal="center" vertical="center" wrapText="1"/>
    </xf>
    <xf numFmtId="0" fontId="30" fillId="0" borderId="4" xfId="53" applyFont="1" applyFill="1" applyBorder="1" applyAlignment="1">
      <alignment horizontal="center" vertical="center" wrapText="1"/>
    </xf>
    <xf numFmtId="0" fontId="30" fillId="0" borderId="20" xfId="53" applyFont="1" applyFill="1" applyBorder="1" applyAlignment="1">
      <alignment horizontal="center" vertical="center" wrapText="1"/>
    </xf>
    <xf numFmtId="164" fontId="31" fillId="0" borderId="18" xfId="4" applyNumberFormat="1" applyFont="1" applyFill="1" applyBorder="1" applyAlignment="1">
      <alignment horizontal="right" vertical="center" wrapText="1"/>
    </xf>
    <xf numFmtId="0" fontId="24" fillId="0" borderId="1" xfId="20" applyFont="1" applyBorder="1" applyAlignment="1">
      <alignment horizontal="center"/>
    </xf>
    <xf numFmtId="0" fontId="30" fillId="0" borderId="7" xfId="11" applyFont="1" applyBorder="1" applyAlignment="1">
      <alignment horizontal="center" vertical="center"/>
    </xf>
    <xf numFmtId="0" fontId="30" fillId="0" borderId="81" xfId="11" applyFont="1" applyBorder="1" applyAlignment="1">
      <alignment horizontal="center" vertical="center"/>
    </xf>
    <xf numFmtId="0" fontId="17" fillId="0" borderId="81" xfId="11" applyBorder="1" applyAlignment="1">
      <alignment horizontal="center" vertical="center"/>
    </xf>
    <xf numFmtId="0" fontId="17" fillId="0" borderId="1" xfId="11" applyBorder="1" applyAlignment="1">
      <alignment horizontal="center" vertical="center"/>
    </xf>
    <xf numFmtId="0" fontId="17" fillId="0" borderId="84" xfId="11" applyBorder="1" applyAlignment="1">
      <alignment horizontal="center" vertical="center"/>
    </xf>
    <xf numFmtId="0" fontId="17" fillId="0" borderId="7" xfId="11" applyBorder="1" applyAlignment="1">
      <alignment horizontal="center" vertical="center"/>
    </xf>
    <xf numFmtId="37" fontId="34" fillId="0" borderId="0" xfId="11" applyNumberFormat="1" applyFont="1" applyAlignment="1">
      <alignment horizontal="left"/>
    </xf>
    <xf numFmtId="0" fontId="37" fillId="0" borderId="0" xfId="11" applyFont="1" applyAlignment="1">
      <alignment horizontal="left"/>
    </xf>
    <xf numFmtId="0" fontId="21" fillId="0" borderId="49" xfId="44" applyNumberFormat="1" applyFont="1" applyFill="1" applyBorder="1" applyAlignment="1" applyProtection="1">
      <alignment vertical="center" shrinkToFit="1"/>
    </xf>
    <xf numFmtId="0" fontId="17" fillId="0" borderId="0" xfId="4" applyFont="1" applyBorder="1"/>
    <xf numFmtId="0" fontId="17" fillId="0" borderId="25" xfId="4" applyFont="1" applyBorder="1"/>
    <xf numFmtId="0" fontId="17" fillId="0" borderId="22" xfId="4" applyFont="1" applyFill="1" applyBorder="1" applyAlignment="1"/>
    <xf numFmtId="0" fontId="31" fillId="0" borderId="86" xfId="4" applyFont="1" applyFill="1" applyBorder="1" applyAlignment="1" applyProtection="1">
      <alignment horizontal="center" wrapText="1"/>
    </xf>
    <xf numFmtId="0" fontId="31" fillId="33" borderId="79" xfId="4" applyFont="1" applyFill="1" applyBorder="1" applyAlignment="1" applyProtection="1">
      <alignment horizontal="center" wrapText="1"/>
    </xf>
    <xf numFmtId="38" fontId="17" fillId="7" borderId="86" xfId="4" applyNumberFormat="1" applyFont="1" applyFill="1" applyBorder="1" applyAlignment="1" applyProtection="1">
      <alignment horizontal="center" vertical="center"/>
      <protection locked="0"/>
    </xf>
    <xf numFmtId="167" fontId="32" fillId="7" borderId="84" xfId="4" applyNumberFormat="1" applyFont="1" applyFill="1" applyBorder="1" applyAlignment="1" applyProtection="1">
      <alignment horizontal="center" vertical="center" wrapText="1"/>
      <protection locked="0"/>
    </xf>
    <xf numFmtId="38" fontId="32" fillId="0" borderId="49" xfId="4" applyNumberFormat="1" applyFont="1" applyFill="1" applyBorder="1" applyAlignment="1" applyProtection="1">
      <alignment horizontal="center" vertical="center" wrapText="1"/>
    </xf>
    <xf numFmtId="8" fontId="32" fillId="0" borderId="49" xfId="4" applyNumberFormat="1" applyFont="1" applyFill="1" applyBorder="1" applyAlignment="1" applyProtection="1">
      <alignment horizontal="right" vertical="center" wrapText="1"/>
    </xf>
    <xf numFmtId="167" fontId="42" fillId="0" borderId="49" xfId="48" applyNumberFormat="1" applyFont="1" applyFill="1" applyBorder="1" applyAlignment="1" applyProtection="1">
      <alignment horizontal="center" vertical="center"/>
    </xf>
    <xf numFmtId="0" fontId="17" fillId="0" borderId="0" xfId="4" applyFont="1" applyAlignment="1">
      <alignment vertical="center"/>
    </xf>
    <xf numFmtId="8" fontId="32" fillId="0" borderId="79" xfId="4" applyNumberFormat="1" applyFont="1" applyFill="1" applyBorder="1" applyAlignment="1" applyProtection="1">
      <alignment horizontal="right" vertical="center" wrapText="1"/>
    </xf>
    <xf numFmtId="0" fontId="17" fillId="0" borderId="17" xfId="4" applyFont="1" applyBorder="1" applyAlignment="1">
      <alignment vertical="center"/>
    </xf>
    <xf numFmtId="0" fontId="17" fillId="0" borderId="17" xfId="4" applyFont="1" applyBorder="1" applyAlignment="1" applyProtection="1">
      <alignment vertical="center"/>
    </xf>
    <xf numFmtId="0" fontId="17" fillId="0" borderId="12" xfId="4" applyFont="1" applyBorder="1" applyAlignment="1" applyProtection="1">
      <alignment vertical="center"/>
    </xf>
    <xf numFmtId="10" fontId="17" fillId="0" borderId="42" xfId="4" applyNumberFormat="1" applyFont="1" applyBorder="1" applyAlignment="1">
      <alignment horizontal="center"/>
    </xf>
    <xf numFmtId="10" fontId="17" fillId="0" borderId="44" xfId="4" applyNumberFormat="1" applyFont="1" applyBorder="1" applyAlignment="1">
      <alignment horizontal="center"/>
    </xf>
    <xf numFmtId="10" fontId="17" fillId="0" borderId="43" xfId="4" applyNumberFormat="1" applyFont="1" applyBorder="1" applyAlignment="1">
      <alignment horizontal="center"/>
    </xf>
    <xf numFmtId="0" fontId="17" fillId="0" borderId="11" xfId="4" applyFont="1" applyBorder="1"/>
    <xf numFmtId="0" fontId="17" fillId="0" borderId="55" xfId="4" applyFont="1" applyBorder="1"/>
    <xf numFmtId="10" fontId="17" fillId="0" borderId="0" xfId="4" applyNumberFormat="1" applyFont="1" applyBorder="1" applyAlignment="1">
      <alignment horizontal="center"/>
    </xf>
    <xf numFmtId="0" fontId="47" fillId="0" borderId="84" xfId="48" applyBorder="1" applyAlignment="1">
      <alignment horizontal="center" vertical="center"/>
    </xf>
    <xf numFmtId="10" fontId="47" fillId="0" borderId="84" xfId="48" applyNumberFormat="1" applyBorder="1" applyAlignment="1">
      <alignment horizontal="center" vertical="center"/>
    </xf>
    <xf numFmtId="164" fontId="30" fillId="0" borderId="79" xfId="48" applyNumberFormat="1" applyFont="1" applyFill="1" applyBorder="1" applyAlignment="1">
      <alignment horizontal="right" vertical="center"/>
    </xf>
    <xf numFmtId="0" fontId="17" fillId="0" borderId="44" xfId="4" applyFont="1" applyBorder="1" applyAlignment="1"/>
    <xf numFmtId="0" fontId="17" fillId="0" borderId="32" xfId="4" applyFont="1" applyBorder="1"/>
    <xf numFmtId="0" fontId="17" fillId="0" borderId="6" xfId="4" applyFont="1" applyBorder="1" applyAlignment="1"/>
    <xf numFmtId="38" fontId="21" fillId="0" borderId="84" xfId="4" applyNumberFormat="1" applyFont="1" applyBorder="1" applyAlignment="1">
      <alignment horizontal="center" vertical="center" wrapText="1"/>
    </xf>
    <xf numFmtId="164" fontId="21" fillId="0" borderId="84" xfId="4" applyNumberFormat="1" applyFont="1" applyBorder="1" applyAlignment="1">
      <alignment horizontal="center" vertical="center"/>
    </xf>
    <xf numFmtId="164" fontId="21" fillId="0" borderId="84" xfId="4" applyNumberFormat="1" applyFont="1" applyBorder="1" applyAlignment="1">
      <alignment horizontal="right" vertical="center"/>
    </xf>
    <xf numFmtId="0" fontId="30" fillId="0" borderId="84" xfId="4" applyFont="1" applyBorder="1" applyAlignment="1">
      <alignment horizontal="center" vertical="center"/>
    </xf>
    <xf numFmtId="10" fontId="30" fillId="0" borderId="84" xfId="4" applyNumberFormat="1" applyFont="1" applyBorder="1" applyAlignment="1">
      <alignment horizontal="center" vertical="center"/>
    </xf>
    <xf numFmtId="0" fontId="117" fillId="0" borderId="84" xfId="4" applyFont="1" applyBorder="1" applyAlignment="1">
      <alignment horizontal="center" vertical="center" wrapText="1"/>
    </xf>
    <xf numFmtId="0" fontId="21" fillId="7" borderId="84" xfId="4" applyFont="1" applyFill="1" applyBorder="1" applyAlignment="1" applyProtection="1">
      <alignment horizontal="center" vertical="center"/>
      <protection locked="0"/>
    </xf>
    <xf numFmtId="0" fontId="21" fillId="0" borderId="84" xfId="4" applyFont="1" applyBorder="1" applyAlignment="1">
      <alignment horizontal="center" vertical="center"/>
    </xf>
    <xf numFmtId="0" fontId="17" fillId="0" borderId="75" xfId="4" applyFont="1" applyBorder="1" applyAlignment="1"/>
    <xf numFmtId="0" fontId="17" fillId="0" borderId="79" xfId="4" applyFont="1" applyBorder="1" applyAlignment="1"/>
    <xf numFmtId="164" fontId="47" fillId="0" borderId="84" xfId="48" applyNumberFormat="1" applyFont="1" applyBorder="1" applyAlignment="1">
      <alignment horizontal="right" vertical="center"/>
    </xf>
    <xf numFmtId="164" fontId="21" fillId="7" borderId="84" xfId="48" applyNumberFormat="1" applyFont="1" applyFill="1" applyBorder="1" applyAlignment="1" applyProtection="1">
      <alignment horizontal="center" vertical="center"/>
      <protection locked="0"/>
    </xf>
    <xf numFmtId="6" fontId="37" fillId="0" borderId="84" xfId="20" applyNumberFormat="1" applyFont="1" applyBorder="1" applyAlignment="1">
      <alignment horizontal="center" vertical="center" wrapText="1" shrinkToFit="1"/>
    </xf>
    <xf numFmtId="0" fontId="37" fillId="0" borderId="84" xfId="20" applyFont="1" applyBorder="1" applyAlignment="1">
      <alignment horizontal="center" vertical="center" shrinkToFit="1"/>
    </xf>
    <xf numFmtId="0" fontId="37" fillId="7" borderId="84" xfId="20" applyFont="1" applyFill="1" applyBorder="1" applyAlignment="1" applyProtection="1">
      <alignment horizontal="center" vertical="center" shrinkToFit="1"/>
      <protection locked="0"/>
    </xf>
    <xf numFmtId="164" fontId="37" fillId="7" borderId="84" xfId="20" applyNumberFormat="1" applyFont="1" applyFill="1" applyBorder="1" applyAlignment="1" applyProtection="1">
      <alignment horizontal="right" vertical="center"/>
      <protection locked="0"/>
    </xf>
    <xf numFmtId="10" fontId="37" fillId="7" borderId="84" xfId="20" applyNumberFormat="1" applyFont="1" applyFill="1" applyBorder="1" applyAlignment="1" applyProtection="1">
      <alignment horizontal="center" vertical="center"/>
      <protection locked="0"/>
    </xf>
    <xf numFmtId="0" fontId="47" fillId="7" borderId="85" xfId="43" applyFill="1" applyBorder="1" applyAlignment="1" applyProtection="1">
      <alignment horizontal="center" vertical="center" wrapText="1"/>
      <protection locked="0"/>
    </xf>
    <xf numFmtId="166" fontId="23" fillId="0" borderId="86" xfId="48" applyNumberFormat="1" applyFont="1" applyBorder="1" applyAlignment="1">
      <alignment horizontal="center" vertical="center"/>
    </xf>
    <xf numFmtId="0" fontId="24" fillId="36" borderId="84" xfId="24" applyFont="1" applyFill="1" applyBorder="1" applyAlignment="1">
      <alignment horizontal="left" vertical="center" wrapText="1"/>
    </xf>
    <xf numFmtId="0" fontId="24" fillId="36" borderId="84" xfId="24" applyFont="1" applyFill="1" applyBorder="1" applyAlignment="1">
      <alignment vertical="center" wrapText="1"/>
    </xf>
    <xf numFmtId="164" fontId="37" fillId="0" borderId="79" xfId="11" applyNumberFormat="1" applyFont="1" applyBorder="1" applyAlignment="1">
      <alignment vertical="center" shrinkToFit="1"/>
    </xf>
    <xf numFmtId="0" fontId="37" fillId="0" borderId="84" xfId="24" applyFont="1" applyBorder="1" applyAlignment="1">
      <alignment horizontal="left" vertical="center" wrapText="1"/>
    </xf>
    <xf numFmtId="164" fontId="37" fillId="7" borderId="84" xfId="24" applyNumberFormat="1" applyFont="1" applyFill="1" applyBorder="1" applyAlignment="1" applyProtection="1">
      <alignment vertical="center" wrapText="1"/>
      <protection locked="0"/>
    </xf>
    <xf numFmtId="0" fontId="24" fillId="0" borderId="84" xfId="24" applyFont="1" applyBorder="1" applyAlignment="1">
      <alignment horizontal="left" vertical="center" wrapText="1" indent="1"/>
    </xf>
    <xf numFmtId="164" fontId="24" fillId="0" borderId="84" xfId="24" applyNumberFormat="1" applyFont="1" applyBorder="1" applyAlignment="1">
      <alignment vertical="center" wrapText="1"/>
    </xf>
    <xf numFmtId="0" fontId="37" fillId="0" borderId="84" xfId="24" applyFont="1" applyBorder="1" applyAlignment="1">
      <alignment horizontal="left" vertical="center"/>
    </xf>
    <xf numFmtId="0" fontId="37" fillId="7" borderId="84" xfId="24" applyFont="1" applyFill="1" applyBorder="1" applyAlignment="1" applyProtection="1">
      <alignment horizontal="left" vertical="center" wrapText="1"/>
      <protection locked="0"/>
    </xf>
    <xf numFmtId="0" fontId="19" fillId="0" borderId="84" xfId="24" applyFont="1" applyBorder="1" applyAlignment="1">
      <alignment horizontal="left" vertical="center" wrapText="1" indent="1"/>
    </xf>
    <xf numFmtId="164" fontId="24" fillId="36" borderId="84" xfId="24" applyNumberFormat="1" applyFont="1" applyFill="1" applyBorder="1" applyAlignment="1">
      <alignment vertical="center" wrapText="1"/>
    </xf>
    <xf numFmtId="164" fontId="24" fillId="4" borderId="84" xfId="24" applyNumberFormat="1" applyFont="1" applyFill="1" applyBorder="1" applyAlignment="1">
      <alignment vertical="center" wrapText="1"/>
    </xf>
    <xf numFmtId="0" fontId="37" fillId="0" borderId="84" xfId="24" applyFont="1" applyBorder="1" applyAlignment="1" applyProtection="1">
      <alignment horizontal="left" vertical="center" wrapText="1"/>
      <protection locked="0"/>
    </xf>
    <xf numFmtId="0" fontId="24" fillId="0" borderId="84" xfId="20" applyFont="1" applyBorder="1" applyAlignment="1">
      <alignment horizontal="left" vertical="center" indent="1"/>
    </xf>
    <xf numFmtId="164" fontId="24" fillId="0" borderId="84" xfId="20" applyNumberFormat="1" applyFont="1" applyBorder="1" applyAlignment="1">
      <alignment vertical="center" shrinkToFit="1"/>
    </xf>
    <xf numFmtId="0" fontId="122" fillId="0" borderId="84" xfId="11" applyFont="1" applyBorder="1" applyAlignment="1">
      <alignment horizontal="center" vertical="center"/>
    </xf>
    <xf numFmtId="0" fontId="26" fillId="0" borderId="86" xfId="11" applyFont="1" applyBorder="1" applyAlignment="1">
      <alignment vertical="center"/>
    </xf>
    <xf numFmtId="0" fontId="26" fillId="0" borderId="84" xfId="11" applyFont="1" applyBorder="1" applyAlignment="1">
      <alignment horizontal="center" vertical="center"/>
    </xf>
    <xf numFmtId="2" fontId="17" fillId="0" borderId="79" xfId="11" applyNumberFormat="1" applyFill="1" applyBorder="1" applyAlignment="1" applyProtection="1">
      <alignment vertical="center" shrinkToFit="1"/>
      <protection locked="0"/>
    </xf>
    <xf numFmtId="6" fontId="32" fillId="7" borderId="79" xfId="11" applyNumberFormat="1" applyFont="1" applyFill="1" applyBorder="1" applyAlignment="1" applyProtection="1">
      <alignment horizontal="right" vertical="center" shrinkToFit="1"/>
      <protection locked="0"/>
    </xf>
    <xf numFmtId="2" fontId="17" fillId="0" borderId="84" xfId="11" applyNumberFormat="1" applyFill="1" applyBorder="1" applyAlignment="1" applyProtection="1">
      <alignment vertical="center" shrinkToFit="1"/>
      <protection locked="0"/>
    </xf>
    <xf numFmtId="6" fontId="31" fillId="0" borderId="79" xfId="11" applyNumberFormat="1" applyFont="1" applyBorder="1" applyAlignment="1">
      <alignment horizontal="right" vertical="center" shrinkToFit="1"/>
    </xf>
    <xf numFmtId="6" fontId="17" fillId="7" borderId="84" xfId="11" applyNumberFormat="1" applyFill="1" applyBorder="1" applyAlignment="1" applyProtection="1">
      <alignment vertical="center" shrinkToFit="1"/>
      <protection locked="0"/>
    </xf>
    <xf numFmtId="3" fontId="17" fillId="7" borderId="84" xfId="11" applyNumberFormat="1" applyFill="1" applyBorder="1" applyAlignment="1" applyProtection="1">
      <alignment horizontal="center" vertical="center" wrapText="1"/>
      <protection locked="0"/>
    </xf>
    <xf numFmtId="6" fontId="26" fillId="0" borderId="84" xfId="11" applyNumberFormat="1" applyFont="1" applyBorder="1" applyAlignment="1">
      <alignment vertical="center" shrinkToFit="1"/>
    </xf>
    <xf numFmtId="3" fontId="17" fillId="0" borderId="84" xfId="11" applyNumberFormat="1" applyBorder="1" applyAlignment="1" applyProtection="1">
      <alignment horizontal="left" vertical="top" wrapText="1"/>
      <protection locked="0"/>
    </xf>
    <xf numFmtId="9" fontId="26" fillId="0" borderId="84" xfId="11" applyNumberFormat="1" applyFont="1" applyBorder="1" applyAlignment="1">
      <alignment horizontal="center" vertical="center"/>
    </xf>
    <xf numFmtId="0" fontId="26" fillId="0" borderId="84" xfId="11" applyFont="1" applyBorder="1" applyAlignment="1">
      <alignment horizontal="center" vertical="center" wrapText="1"/>
    </xf>
    <xf numFmtId="0" fontId="17" fillId="0" borderId="79" xfId="11" applyBorder="1" applyAlignment="1">
      <alignment vertical="center"/>
    </xf>
    <xf numFmtId="0" fontId="17" fillId="7" borderId="84" xfId="11" applyFill="1" applyBorder="1" applyAlignment="1" applyProtection="1">
      <alignment horizontal="center" vertical="center" shrinkToFit="1"/>
      <protection locked="0"/>
    </xf>
    <xf numFmtId="0" fontId="26" fillId="0" borderId="84" xfId="11" applyFont="1" applyBorder="1" applyAlignment="1">
      <alignment horizontal="right" vertical="center"/>
    </xf>
    <xf numFmtId="0" fontId="30" fillId="0" borderId="84" xfId="11" applyFont="1" applyBorder="1" applyAlignment="1">
      <alignment horizontal="center" vertical="center"/>
    </xf>
    <xf numFmtId="0" fontId="17" fillId="0" borderId="79" xfId="11" applyBorder="1" applyAlignment="1">
      <alignment horizontal="center" vertical="center"/>
    </xf>
    <xf numFmtId="6" fontId="17" fillId="0" borderId="79" xfId="11" applyNumberFormat="1" applyBorder="1" applyAlignment="1">
      <alignment vertical="center" shrinkToFit="1"/>
    </xf>
    <xf numFmtId="6" fontId="17" fillId="1" borderId="79" xfId="11" applyNumberFormat="1" applyFill="1" applyBorder="1" applyAlignment="1">
      <alignment vertical="center" shrinkToFit="1"/>
    </xf>
    <xf numFmtId="6" fontId="17" fillId="7" borderId="84" xfId="11" applyNumberFormat="1" applyFill="1" applyBorder="1" applyAlignment="1" applyProtection="1">
      <alignment horizontal="right" vertical="center" shrinkToFit="1"/>
      <protection locked="0"/>
    </xf>
    <xf numFmtId="6" fontId="17" fillId="7" borderId="79" xfId="11" applyNumberFormat="1" applyFill="1" applyBorder="1" applyAlignment="1" applyProtection="1">
      <alignment vertical="center" shrinkToFit="1"/>
      <protection locked="0"/>
    </xf>
    <xf numFmtId="6" fontId="31" fillId="0" borderId="84" xfId="11" applyNumberFormat="1" applyFont="1" applyBorder="1" applyAlignment="1">
      <alignment horizontal="right" vertical="center" shrinkToFit="1"/>
    </xf>
    <xf numFmtId="165" fontId="32" fillId="7" borderId="84" xfId="12" applyNumberFormat="1" applyFont="1" applyFill="1" applyBorder="1" applyAlignment="1" applyProtection="1">
      <alignment horizontal="right" vertical="center" shrinkToFit="1"/>
      <protection locked="0"/>
    </xf>
    <xf numFmtId="6" fontId="17" fillId="1" borderId="84" xfId="11" applyNumberFormat="1" applyFill="1" applyBorder="1" applyAlignment="1">
      <alignment vertical="center" shrinkToFit="1"/>
    </xf>
    <xf numFmtId="6" fontId="32" fillId="0" borderId="84" xfId="11" applyNumberFormat="1" applyFont="1" applyBorder="1" applyAlignment="1">
      <alignment horizontal="right" vertical="center" shrinkToFit="1"/>
    </xf>
    <xf numFmtId="8" fontId="25" fillId="7" borderId="85" xfId="24" applyNumberFormat="1" applyFont="1" applyFill="1" applyBorder="1" applyAlignment="1" applyProtection="1">
      <alignment vertical="top" wrapText="1"/>
      <protection locked="0"/>
    </xf>
    <xf numFmtId="6" fontId="31" fillId="0" borderId="84" xfId="13" applyNumberFormat="1" applyFont="1" applyBorder="1" applyAlignment="1">
      <alignment horizontal="right" vertical="center" shrinkToFit="1"/>
    </xf>
    <xf numFmtId="0" fontId="30" fillId="0" borderId="79" xfId="11" applyFont="1" applyBorder="1" applyAlignment="1">
      <alignment horizontal="center" vertical="center"/>
    </xf>
    <xf numFmtId="6" fontId="35" fillId="0" borderId="79" xfId="11" applyNumberFormat="1" applyFont="1" applyBorder="1" applyAlignment="1">
      <alignment vertical="center"/>
    </xf>
    <xf numFmtId="0" fontId="17" fillId="0" borderId="84" xfId="11" applyBorder="1" applyAlignment="1">
      <alignment horizontal="centerContinuous" vertical="center"/>
    </xf>
    <xf numFmtId="0" fontId="24" fillId="0" borderId="86" xfId="11" applyFont="1" applyBorder="1" applyAlignment="1">
      <alignment horizontal="right" wrapText="1"/>
    </xf>
    <xf numFmtId="38" fontId="24" fillId="3" borderId="86" xfId="11" applyNumberFormat="1" applyFont="1" applyFill="1" applyBorder="1" applyAlignment="1">
      <alignment horizontal="right"/>
    </xf>
    <xf numFmtId="0" fontId="1" fillId="0" borderId="0" xfId="42" applyFont="1"/>
    <xf numFmtId="0" fontId="22" fillId="0" borderId="0" xfId="41" applyFont="1" applyAlignment="1">
      <alignment horizontal="center"/>
    </xf>
    <xf numFmtId="0" fontId="52" fillId="0" borderId="0" xfId="40" applyAlignment="1" applyProtection="1">
      <alignment horizontal="center"/>
    </xf>
    <xf numFmtId="0" fontId="60" fillId="0" borderId="0" xfId="41" applyFont="1" applyAlignment="1">
      <alignment horizontal="center"/>
    </xf>
    <xf numFmtId="0" fontId="51" fillId="0" borderId="0" xfId="41" applyFont="1" applyAlignment="1">
      <alignment horizontal="center"/>
    </xf>
    <xf numFmtId="0" fontId="58" fillId="0" borderId="0" xfId="41" applyFont="1" applyAlignment="1">
      <alignment horizontal="center" vertical="top"/>
    </xf>
    <xf numFmtId="0" fontId="107" fillId="0" borderId="0" xfId="41" applyFont="1" applyAlignment="1">
      <alignment horizontal="center" vertical="center" wrapText="1"/>
    </xf>
    <xf numFmtId="0" fontId="106" fillId="0" borderId="0" xfId="0" applyFont="1" applyAlignment="1">
      <alignment horizontal="center" vertical="center"/>
    </xf>
    <xf numFmtId="166" fontId="26" fillId="0" borderId="0" xfId="0" applyNumberFormat="1" applyFont="1" applyAlignment="1">
      <alignment horizontal="center" vertical="center"/>
    </xf>
    <xf numFmtId="2" fontId="17" fillId="7" borderId="13" xfId="4" applyNumberFormat="1" applyFont="1" applyFill="1" applyBorder="1" applyAlignment="1" applyProtection="1">
      <alignment horizontal="left" vertical="top" wrapText="1"/>
      <protection locked="0"/>
    </xf>
    <xf numFmtId="2" fontId="17" fillId="7" borderId="84" xfId="4" applyNumberFormat="1" applyFont="1" applyFill="1" applyBorder="1" applyAlignment="1" applyProtection="1">
      <alignment horizontal="left" vertical="top" wrapText="1"/>
      <protection locked="0"/>
    </xf>
    <xf numFmtId="2" fontId="17" fillId="7" borderId="85" xfId="4" applyNumberFormat="1" applyFont="1" applyFill="1" applyBorder="1" applyAlignment="1" applyProtection="1">
      <alignment horizontal="left" vertical="top" wrapText="1"/>
      <protection locked="0"/>
    </xf>
    <xf numFmtId="0" fontId="21" fillId="0" borderId="26" xfId="4" applyFont="1" applyBorder="1" applyAlignment="1">
      <alignment horizontal="left" vertical="center"/>
    </xf>
    <xf numFmtId="0" fontId="21" fillId="0" borderId="7" xfId="4" applyFont="1" applyBorder="1" applyAlignment="1">
      <alignment horizontal="left" vertical="center"/>
    </xf>
    <xf numFmtId="2" fontId="21" fillId="7" borderId="86" xfId="4" applyNumberFormat="1" applyFont="1" applyFill="1" applyBorder="1" applyAlignment="1" applyProtection="1">
      <alignment horizontal="left" vertical="center" wrapText="1"/>
      <protection locked="0"/>
    </xf>
    <xf numFmtId="2" fontId="21" fillId="7" borderId="7" xfId="4" applyNumberFormat="1" applyFont="1" applyFill="1" applyBorder="1" applyAlignment="1" applyProtection="1">
      <alignment horizontal="left" vertical="center" wrapText="1"/>
      <protection locked="0"/>
    </xf>
    <xf numFmtId="2" fontId="21" fillId="7" borderId="27" xfId="4" applyNumberFormat="1" applyFont="1" applyFill="1" applyBorder="1" applyAlignment="1" applyProtection="1">
      <alignment horizontal="left" vertical="center" wrapText="1"/>
      <protection locked="0"/>
    </xf>
    <xf numFmtId="3" fontId="21" fillId="0" borderId="84" xfId="4" applyNumberFormat="1" applyFont="1" applyBorder="1" applyAlignment="1">
      <alignment horizontal="center" vertical="center"/>
    </xf>
    <xf numFmtId="3" fontId="30" fillId="0" borderId="86" xfId="4" applyNumberFormat="1" applyFont="1" applyBorder="1" applyAlignment="1">
      <alignment horizontal="center" vertical="center"/>
    </xf>
    <xf numFmtId="3" fontId="30" fillId="0" borderId="7" xfId="4" applyNumberFormat="1" applyFont="1" applyBorder="1" applyAlignment="1">
      <alignment horizontal="center" vertical="center"/>
    </xf>
    <xf numFmtId="3" fontId="30" fillId="0" borderId="27" xfId="4" applyNumberFormat="1" applyFont="1" applyBorder="1" applyAlignment="1">
      <alignment horizontal="center" vertical="center"/>
    </xf>
    <xf numFmtId="0" fontId="21" fillId="0" borderId="13" xfId="4" applyFont="1" applyBorder="1" applyAlignment="1">
      <alignment horizontal="left"/>
    </xf>
    <xf numFmtId="0" fontId="21" fillId="0" borderId="84" xfId="4" applyFont="1" applyBorder="1" applyAlignment="1">
      <alignment horizontal="left"/>
    </xf>
    <xf numFmtId="0" fontId="21" fillId="0" borderId="84" xfId="4" applyFont="1" applyBorder="1" applyAlignment="1">
      <alignment horizontal="right"/>
    </xf>
    <xf numFmtId="3" fontId="21" fillId="0" borderId="84" xfId="4" applyNumberFormat="1" applyFont="1" applyBorder="1" applyAlignment="1">
      <alignment horizontal="center" vertical="center" wrapText="1"/>
    </xf>
    <xf numFmtId="0" fontId="21" fillId="0" borderId="84" xfId="4" applyFont="1" applyBorder="1" applyAlignment="1">
      <alignment horizontal="right" vertical="center"/>
    </xf>
    <xf numFmtId="0" fontId="21" fillId="0" borderId="84" xfId="4" applyFont="1" applyBorder="1" applyAlignment="1">
      <alignment horizontal="center"/>
    </xf>
    <xf numFmtId="0" fontId="21" fillId="0" borderId="85" xfId="4" applyFont="1" applyBorder="1" applyAlignment="1">
      <alignment horizontal="center"/>
    </xf>
    <xf numFmtId="0" fontId="21" fillId="0" borderId="42" xfId="4" applyFont="1" applyBorder="1" applyAlignment="1">
      <alignment horizontal="left"/>
    </xf>
    <xf numFmtId="0" fontId="21" fillId="0" borderId="44" xfId="4" applyFont="1" applyBorder="1" applyAlignment="1">
      <alignment horizontal="left"/>
    </xf>
    <xf numFmtId="3" fontId="21" fillId="0" borderId="44" xfId="4" applyNumberFormat="1" applyFont="1" applyBorder="1" applyAlignment="1">
      <alignment horizontal="center" vertical="center" wrapText="1"/>
    </xf>
    <xf numFmtId="169" fontId="21" fillId="0" borderId="44" xfId="4" applyNumberFormat="1" applyFont="1" applyBorder="1" applyAlignment="1">
      <alignment horizontal="right" vertical="center" wrapText="1"/>
    </xf>
    <xf numFmtId="3" fontId="21" fillId="0" borderId="43" xfId="4" applyNumberFormat="1" applyFont="1" applyBorder="1" applyAlignment="1">
      <alignment horizontal="center" vertical="center" wrapText="1"/>
    </xf>
    <xf numFmtId="0" fontId="21" fillId="0" borderId="26" xfId="0" applyFont="1" applyBorder="1" applyAlignment="1">
      <alignment horizontal="left" vertical="center" wrapText="1"/>
    </xf>
    <xf numFmtId="0" fontId="21" fillId="0" borderId="7" xfId="0" applyFont="1" applyBorder="1" applyAlignment="1">
      <alignment horizontal="left" vertical="center" wrapText="1"/>
    </xf>
    <xf numFmtId="0" fontId="21" fillId="0" borderId="27" xfId="0" applyFont="1" applyBorder="1" applyAlignment="1">
      <alignment horizontal="left" vertical="center" wrapText="1"/>
    </xf>
    <xf numFmtId="0" fontId="51" fillId="42" borderId="19" xfId="49" applyFill="1" applyBorder="1" applyAlignment="1">
      <alignment horizontal="center" vertical="center"/>
    </xf>
    <xf numFmtId="0" fontId="51" fillId="42" borderId="4" xfId="49" applyFill="1" applyBorder="1" applyAlignment="1">
      <alignment horizontal="center" vertical="center"/>
    </xf>
    <xf numFmtId="0" fontId="51" fillId="42" borderId="20" xfId="49" applyFill="1" applyBorder="1" applyAlignment="1">
      <alignment horizontal="center" vertical="center"/>
    </xf>
    <xf numFmtId="0" fontId="51" fillId="3" borderId="19" xfId="49" applyFill="1" applyBorder="1" applyAlignment="1">
      <alignment horizontal="center" vertical="center"/>
    </xf>
    <xf numFmtId="0" fontId="51" fillId="3" borderId="4" xfId="49" applyFill="1" applyBorder="1" applyAlignment="1">
      <alignment horizontal="center" vertical="center"/>
    </xf>
    <xf numFmtId="0" fontId="21" fillId="0" borderId="49" xfId="4" applyFont="1" applyBorder="1" applyAlignment="1">
      <alignment horizontal="left" vertical="center"/>
    </xf>
    <xf numFmtId="169" fontId="21" fillId="0" borderId="86" xfId="4" applyNumberFormat="1" applyFont="1" applyBorder="1" applyAlignment="1">
      <alignment horizontal="right" vertical="center" wrapText="1"/>
    </xf>
    <xf numFmtId="169" fontId="21" fillId="0" borderId="7" xfId="4" applyNumberFormat="1" applyFont="1" applyBorder="1" applyAlignment="1">
      <alignment horizontal="right" vertical="center" wrapText="1"/>
    </xf>
    <xf numFmtId="169" fontId="30" fillId="0" borderId="86" xfId="4" applyNumberFormat="1" applyFont="1" applyBorder="1" applyAlignment="1">
      <alignment horizontal="right" vertical="center" wrapText="1"/>
    </xf>
    <xf numFmtId="169" fontId="30" fillId="0" borderId="7" xfId="4" applyNumberFormat="1" applyFont="1" applyBorder="1" applyAlignment="1">
      <alignment horizontal="right" vertical="center" wrapText="1"/>
    </xf>
    <xf numFmtId="0" fontId="30" fillId="0" borderId="26" xfId="4" applyFont="1" applyBorder="1" applyAlignment="1">
      <alignment horizontal="left" vertical="center" indent="1"/>
    </xf>
    <xf numFmtId="0" fontId="30" fillId="0" borderId="7" xfId="4" applyFont="1" applyBorder="1" applyAlignment="1">
      <alignment horizontal="left" vertical="center" indent="1"/>
    </xf>
    <xf numFmtId="0" fontId="30" fillId="0" borderId="49" xfId="4" applyFont="1" applyBorder="1" applyAlignment="1">
      <alignment horizontal="left" vertical="center" indent="1"/>
    </xf>
    <xf numFmtId="169" fontId="21" fillId="0" borderId="27" xfId="4" applyNumberFormat="1" applyFont="1" applyBorder="1" applyAlignment="1">
      <alignment horizontal="right" vertical="center" wrapText="1"/>
    </xf>
    <xf numFmtId="169" fontId="30" fillId="0" borderId="27" xfId="4" applyNumberFormat="1" applyFont="1" applyBorder="1" applyAlignment="1">
      <alignment horizontal="right" vertical="center" wrapText="1"/>
    </xf>
    <xf numFmtId="0" fontId="22" fillId="33" borderId="14" xfId="49" applyFont="1" applyFill="1" applyBorder="1" applyAlignment="1">
      <alignment horizontal="center" vertical="center"/>
    </xf>
    <xf numFmtId="0" fontId="22" fillId="33" borderId="0" xfId="49" applyFont="1" applyFill="1" applyBorder="1" applyAlignment="1">
      <alignment horizontal="center" vertical="center"/>
    </xf>
    <xf numFmtId="0" fontId="22" fillId="33" borderId="25" xfId="49" applyFont="1" applyFill="1" applyBorder="1" applyAlignment="1">
      <alignment horizontal="center" vertical="center"/>
    </xf>
    <xf numFmtId="169" fontId="21" fillId="0" borderId="13" xfId="4" applyNumberFormat="1" applyFont="1" applyBorder="1" applyAlignment="1">
      <alignment horizontal="left" vertical="center" wrapText="1"/>
    </xf>
    <xf numFmtId="169" fontId="21" fillId="0" borderId="84" xfId="4" applyNumberFormat="1" applyFont="1" applyBorder="1" applyAlignment="1">
      <alignment horizontal="left" vertical="center" wrapText="1"/>
    </xf>
    <xf numFmtId="169" fontId="30" fillId="0" borderId="13" xfId="4" applyNumberFormat="1" applyFont="1" applyBorder="1" applyAlignment="1">
      <alignment horizontal="left" vertical="center" wrapText="1" indent="1"/>
    </xf>
    <xf numFmtId="169" fontId="30" fillId="0" borderId="84" xfId="4" applyNumberFormat="1" applyFont="1" applyBorder="1" applyAlignment="1">
      <alignment horizontal="left" vertical="center" wrapText="1" indent="1"/>
    </xf>
    <xf numFmtId="169" fontId="30" fillId="0" borderId="34" xfId="4" applyNumberFormat="1" applyFont="1" applyBorder="1" applyAlignment="1">
      <alignment horizontal="left" vertical="center" wrapText="1" indent="1"/>
    </xf>
    <xf numFmtId="169" fontId="30" fillId="0" borderId="8" xfId="4" applyNumberFormat="1" applyFont="1" applyBorder="1" applyAlignment="1">
      <alignment horizontal="left" vertical="center" wrapText="1" indent="1"/>
    </xf>
    <xf numFmtId="169" fontId="21" fillId="0" borderId="84" xfId="4" applyNumberFormat="1" applyFont="1" applyBorder="1" applyAlignment="1">
      <alignment horizontal="right" vertical="center" wrapText="1"/>
    </xf>
    <xf numFmtId="169" fontId="21" fillId="0" borderId="85" xfId="4" applyNumberFormat="1" applyFont="1" applyBorder="1" applyAlignment="1">
      <alignment horizontal="right" vertical="center" wrapText="1"/>
    </xf>
    <xf numFmtId="169" fontId="30" fillId="0" borderId="84" xfId="4" applyNumberFormat="1" applyFont="1" applyBorder="1" applyAlignment="1">
      <alignment horizontal="right" vertical="center" wrapText="1"/>
    </xf>
    <xf numFmtId="169" fontId="30" fillId="0" borderId="85" xfId="4" applyNumberFormat="1" applyFont="1" applyBorder="1" applyAlignment="1">
      <alignment horizontal="right" vertical="center" wrapText="1"/>
    </xf>
    <xf numFmtId="169" fontId="30" fillId="0" borderId="8" xfId="4" applyNumberFormat="1" applyFont="1" applyBorder="1" applyAlignment="1">
      <alignment horizontal="right" vertical="center" wrapText="1"/>
    </xf>
    <xf numFmtId="169" fontId="30" fillId="0" borderId="41" xfId="4" applyNumberFormat="1" applyFont="1" applyBorder="1" applyAlignment="1">
      <alignment horizontal="right" vertical="center" wrapText="1"/>
    </xf>
    <xf numFmtId="3" fontId="21" fillId="0" borderId="50" xfId="4" applyNumberFormat="1" applyFont="1" applyBorder="1" applyAlignment="1">
      <alignment horizontal="center" vertical="center"/>
    </xf>
    <xf numFmtId="0" fontId="30" fillId="0" borderId="39" xfId="4" applyFont="1" applyBorder="1" applyAlignment="1">
      <alignment horizontal="left" vertical="center" indent="1"/>
    </xf>
    <xf numFmtId="0" fontId="30" fillId="0" borderId="5" xfId="4" applyFont="1" applyBorder="1" applyAlignment="1">
      <alignment horizontal="left" vertical="center" indent="1"/>
    </xf>
    <xf numFmtId="0" fontId="30" fillId="0" borderId="9" xfId="4" applyFont="1" applyBorder="1" applyAlignment="1">
      <alignment horizontal="left" vertical="center" indent="1"/>
    </xf>
    <xf numFmtId="169" fontId="30" fillId="0" borderId="2" xfId="4" applyNumberFormat="1" applyFont="1" applyBorder="1" applyAlignment="1">
      <alignment horizontal="right" vertical="center" wrapText="1"/>
    </xf>
    <xf numFmtId="169" fontId="30" fillId="0" borderId="5" xfId="4" applyNumberFormat="1" applyFont="1" applyBorder="1" applyAlignment="1">
      <alignment horizontal="right" vertical="center" wrapText="1"/>
    </xf>
    <xf numFmtId="0" fontId="21" fillId="0" borderId="16" xfId="4" applyFont="1" applyBorder="1" applyAlignment="1">
      <alignment horizontal="left" vertical="center"/>
    </xf>
    <xf numFmtId="0" fontId="21" fillId="0" borderId="17" xfId="4" applyFont="1" applyBorder="1" applyAlignment="1">
      <alignment horizontal="left" vertical="center"/>
    </xf>
    <xf numFmtId="0" fontId="21" fillId="0" borderId="51" xfId="4" applyFont="1" applyBorder="1" applyAlignment="1">
      <alignment horizontal="left" vertical="center"/>
    </xf>
    <xf numFmtId="0" fontId="21" fillId="0" borderId="53" xfId="4" applyFont="1" applyBorder="1" applyAlignment="1">
      <alignment horizontal="right" vertical="center"/>
    </xf>
    <xf numFmtId="0" fontId="21" fillId="0" borderId="17" xfId="4" applyFont="1" applyBorder="1" applyAlignment="1">
      <alignment horizontal="right" vertical="center"/>
    </xf>
    <xf numFmtId="0" fontId="21" fillId="0" borderId="51" xfId="4" applyFont="1" applyBorder="1" applyAlignment="1">
      <alignment horizontal="right" vertical="center"/>
    </xf>
    <xf numFmtId="0" fontId="21" fillId="0" borderId="53" xfId="4" applyFont="1" applyBorder="1" applyAlignment="1">
      <alignment horizontal="center" vertical="top"/>
    </xf>
    <xf numFmtId="0" fontId="21" fillId="0" borderId="17" xfId="4" applyFont="1" applyBorder="1" applyAlignment="1">
      <alignment horizontal="center" vertical="top"/>
    </xf>
    <xf numFmtId="0" fontId="21" fillId="0" borderId="18" xfId="4" applyFont="1" applyBorder="1" applyAlignment="1">
      <alignment horizontal="center" vertical="top"/>
    </xf>
    <xf numFmtId="0" fontId="54" fillId="0" borderId="15" xfId="53" applyFont="1" applyBorder="1" applyAlignment="1">
      <alignment horizontal="center" vertical="center" wrapText="1"/>
    </xf>
    <xf numFmtId="0" fontId="54" fillId="0" borderId="54" xfId="53" applyFont="1" applyBorder="1" applyAlignment="1">
      <alignment horizontal="center" vertical="center" wrapText="1"/>
    </xf>
    <xf numFmtId="0" fontId="54" fillId="0" borderId="64" xfId="53" applyFont="1" applyBorder="1" applyAlignment="1">
      <alignment horizontal="center" vertical="center" wrapText="1"/>
    </xf>
    <xf numFmtId="166" fontId="23" fillId="0" borderId="87" xfId="8" applyNumberFormat="1" applyFont="1" applyFill="1" applyBorder="1" applyAlignment="1" applyProtection="1">
      <alignment horizontal="center" vertical="center" wrapText="1"/>
    </xf>
    <xf numFmtId="166" fontId="23" fillId="0" borderId="54" xfId="8" applyNumberFormat="1" applyFont="1" applyFill="1" applyBorder="1" applyAlignment="1" applyProtection="1">
      <alignment horizontal="center" vertical="center" wrapText="1"/>
    </xf>
    <xf numFmtId="166" fontId="23" fillId="0" borderId="77" xfId="8" applyNumberFormat="1" applyFont="1" applyFill="1" applyBorder="1" applyAlignment="1" applyProtection="1">
      <alignment horizontal="center" vertical="center" wrapText="1"/>
    </xf>
    <xf numFmtId="0" fontId="21" fillId="0" borderId="4" xfId="0" applyFont="1" applyBorder="1" applyAlignment="1">
      <alignment horizontal="left" vertical="center" wrapText="1"/>
    </xf>
    <xf numFmtId="0" fontId="21" fillId="7" borderId="48" xfId="0" applyFont="1" applyFill="1" applyBorder="1" applyAlignment="1" applyProtection="1">
      <alignment horizontal="left" vertical="top" wrapText="1"/>
      <protection locked="0"/>
    </xf>
    <xf numFmtId="0" fontId="21" fillId="7" borderId="4" xfId="0" applyFont="1" applyFill="1" applyBorder="1" applyAlignment="1" applyProtection="1">
      <alignment horizontal="left" vertical="top" wrapText="1"/>
      <protection locked="0"/>
    </xf>
    <xf numFmtId="0" fontId="21" fillId="7" borderId="7" xfId="0" applyFont="1" applyFill="1" applyBorder="1" applyAlignment="1" applyProtection="1">
      <alignment horizontal="left" vertical="top" wrapText="1"/>
      <protection locked="0"/>
    </xf>
    <xf numFmtId="0" fontId="21" fillId="7" borderId="27" xfId="0" applyFont="1" applyFill="1" applyBorder="1" applyAlignment="1" applyProtection="1">
      <alignment horizontal="left" vertical="top" wrapText="1"/>
      <protection locked="0"/>
    </xf>
    <xf numFmtId="0" fontId="21" fillId="0" borderId="49" xfId="0" applyFont="1" applyBorder="1" applyAlignment="1">
      <alignment horizontal="left" vertical="center" wrapText="1"/>
    </xf>
    <xf numFmtId="0" fontId="47" fillId="7" borderId="86" xfId="633" applyBorder="1" applyAlignment="1">
      <alignment horizontal="center" vertical="center"/>
      <protection locked="0"/>
    </xf>
    <xf numFmtId="0" fontId="47" fillId="7" borderId="27" xfId="633" applyBorder="1" applyAlignment="1">
      <alignment horizontal="center" vertical="center"/>
      <protection locked="0"/>
    </xf>
    <xf numFmtId="0" fontId="51" fillId="0" borderId="19" xfId="49" applyFill="1" applyBorder="1" applyAlignment="1">
      <alignment horizontal="center" vertical="center"/>
    </xf>
    <xf numFmtId="0" fontId="51" fillId="0" borderId="4" xfId="49" applyFill="1" applyBorder="1" applyAlignment="1">
      <alignment horizontal="center" vertical="center"/>
    </xf>
    <xf numFmtId="0" fontId="51" fillId="0" borderId="20" xfId="49" applyFill="1" applyBorder="1" applyAlignment="1">
      <alignment horizontal="center" vertical="center"/>
    </xf>
    <xf numFmtId="49" fontId="127" fillId="7" borderId="86" xfId="48" applyNumberFormat="1" applyFont="1" applyFill="1" applyBorder="1" applyAlignment="1" applyProtection="1">
      <alignment horizontal="center" vertical="center" wrapText="1"/>
      <protection locked="0"/>
    </xf>
    <xf numFmtId="49" fontId="127" fillId="7" borderId="7" xfId="48" applyNumberFormat="1" applyFont="1" applyFill="1" applyBorder="1" applyAlignment="1" applyProtection="1">
      <alignment horizontal="center" vertical="center" wrapText="1"/>
      <protection locked="0"/>
    </xf>
    <xf numFmtId="49" fontId="127" fillId="7" borderId="49" xfId="48" applyNumberFormat="1" applyFont="1" applyFill="1" applyBorder="1" applyAlignment="1" applyProtection="1">
      <alignment horizontal="center" vertical="center" wrapText="1"/>
      <protection locked="0"/>
    </xf>
    <xf numFmtId="49" fontId="127" fillId="7" borderId="27" xfId="48" applyNumberFormat="1" applyFont="1" applyFill="1" applyBorder="1" applyAlignment="1" applyProtection="1">
      <alignment horizontal="center" vertical="center" wrapText="1"/>
      <protection locked="0"/>
    </xf>
    <xf numFmtId="0" fontId="47" fillId="0" borderId="26" xfId="48" applyBorder="1" applyAlignment="1">
      <alignment horizontal="left" vertical="center" wrapText="1"/>
    </xf>
    <xf numFmtId="0" fontId="47" fillId="0" borderId="7" xfId="48" applyBorder="1" applyAlignment="1">
      <alignment horizontal="left" vertical="center" wrapText="1"/>
    </xf>
    <xf numFmtId="0" fontId="47" fillId="0" borderId="49" xfId="48" applyBorder="1" applyAlignment="1">
      <alignment horizontal="left" vertical="center" wrapText="1"/>
    </xf>
    <xf numFmtId="0" fontId="47" fillId="0" borderId="84" xfId="44" applyFill="1" applyBorder="1" applyAlignment="1" applyProtection="1">
      <alignment horizontal="right" vertical="center" shrinkToFit="1"/>
    </xf>
    <xf numFmtId="0" fontId="47" fillId="7" borderId="84" xfId="44" applyBorder="1" applyAlignment="1" applyProtection="1">
      <alignment horizontal="left" vertical="center" shrinkToFit="1"/>
      <protection locked="0"/>
    </xf>
    <xf numFmtId="171" fontId="47" fillId="7" borderId="84" xfId="44" applyNumberFormat="1" applyBorder="1" applyAlignment="1">
      <alignment horizontal="left" vertical="center" shrinkToFit="1"/>
      <protection locked="0"/>
    </xf>
    <xf numFmtId="171" fontId="47" fillId="7" borderId="85" xfId="44" applyNumberFormat="1" applyBorder="1" applyAlignment="1">
      <alignment horizontal="left" vertical="center" shrinkToFit="1"/>
      <protection locked="0"/>
    </xf>
    <xf numFmtId="0" fontId="51" fillId="3" borderId="16" xfId="49" applyFill="1" applyBorder="1" applyAlignment="1">
      <alignment horizontal="center" vertical="center"/>
    </xf>
    <xf numFmtId="0" fontId="51" fillId="3" borderId="17" xfId="49" applyFill="1" applyBorder="1" applyAlignment="1">
      <alignment horizontal="center" vertical="center"/>
    </xf>
    <xf numFmtId="0" fontId="51" fillId="3" borderId="18" xfId="49" applyFill="1" applyBorder="1" applyAlignment="1">
      <alignment horizontal="center" vertical="center"/>
    </xf>
    <xf numFmtId="0" fontId="21" fillId="41" borderId="26" xfId="0" quotePrefix="1" applyFont="1" applyFill="1" applyBorder="1" applyAlignment="1">
      <alignment horizontal="left" vertical="top" wrapText="1"/>
    </xf>
    <xf numFmtId="0" fontId="21" fillId="41" borderId="7" xfId="0" quotePrefix="1" applyFont="1" applyFill="1" applyBorder="1" applyAlignment="1">
      <alignment horizontal="left" vertical="top" wrapText="1"/>
    </xf>
    <xf numFmtId="0" fontId="21" fillId="41" borderId="27" xfId="0" quotePrefix="1" applyFont="1" applyFill="1" applyBorder="1" applyAlignment="1">
      <alignment horizontal="left" vertical="top" wrapText="1"/>
    </xf>
    <xf numFmtId="169" fontId="30" fillId="0" borderId="37" xfId="4" applyNumberFormat="1" applyFont="1" applyBorder="1" applyAlignment="1">
      <alignment horizontal="right" vertical="center" wrapText="1"/>
    </xf>
    <xf numFmtId="0" fontId="47" fillId="4" borderId="26" xfId="49" applyFont="1" applyFill="1" applyBorder="1" applyAlignment="1" applyProtection="1">
      <alignment horizontal="center" vertical="center"/>
    </xf>
    <xf numFmtId="0" fontId="47" fillId="4" borderId="7" xfId="49" applyFont="1" applyFill="1" applyBorder="1" applyAlignment="1" applyProtection="1">
      <alignment horizontal="center" vertical="center"/>
    </xf>
    <xf numFmtId="0" fontId="47" fillId="4" borderId="49" xfId="49" applyFont="1" applyFill="1" applyBorder="1" applyAlignment="1" applyProtection="1">
      <alignment horizontal="center" vertical="center"/>
    </xf>
    <xf numFmtId="0" fontId="47" fillId="4" borderId="86" xfId="49" applyFont="1" applyFill="1" applyBorder="1" applyAlignment="1" applyProtection="1">
      <alignment horizontal="center" vertical="center"/>
    </xf>
    <xf numFmtId="0" fontId="47" fillId="4" borderId="27" xfId="49" applyFont="1" applyFill="1" applyBorder="1" applyAlignment="1" applyProtection="1">
      <alignment horizontal="center" vertical="center"/>
    </xf>
    <xf numFmtId="0" fontId="61" fillId="0" borderId="13" xfId="4" applyFont="1" applyBorder="1" applyAlignment="1">
      <alignment horizontal="left" vertical="center" wrapText="1"/>
    </xf>
    <xf numFmtId="0" fontId="61" fillId="0" borderId="84" xfId="4" applyFont="1" applyBorder="1" applyAlignment="1">
      <alignment horizontal="left" vertical="center" wrapText="1"/>
    </xf>
    <xf numFmtId="2" fontId="21" fillId="0" borderId="86" xfId="4" applyNumberFormat="1" applyFont="1" applyBorder="1" applyAlignment="1">
      <alignment horizontal="left" vertical="center" wrapText="1"/>
    </xf>
    <xf numFmtId="2" fontId="21" fillId="0" borderId="7" xfId="4" applyNumberFormat="1" applyFont="1" applyBorder="1" applyAlignment="1">
      <alignment horizontal="left" vertical="center" wrapText="1"/>
    </xf>
    <xf numFmtId="2" fontId="21" fillId="0" borderId="27" xfId="4" applyNumberFormat="1" applyFont="1" applyBorder="1" applyAlignment="1">
      <alignment horizontal="left" vertical="center" wrapText="1"/>
    </xf>
    <xf numFmtId="2" fontId="125" fillId="0" borderId="7" xfId="40" applyNumberFormat="1" applyFont="1" applyFill="1" applyBorder="1" applyAlignment="1" applyProtection="1">
      <alignment horizontal="right" vertical="center" wrapText="1"/>
    </xf>
    <xf numFmtId="2" fontId="125" fillId="0" borderId="49" xfId="40" applyNumberFormat="1" applyFont="1" applyFill="1" applyBorder="1" applyAlignment="1" applyProtection="1">
      <alignment horizontal="right" vertical="center" wrapText="1"/>
    </xf>
    <xf numFmtId="0" fontId="47" fillId="7" borderId="84" xfId="44" applyBorder="1" applyAlignment="1">
      <alignment horizontal="left" vertical="center" shrinkToFit="1"/>
      <protection locked="0"/>
    </xf>
    <xf numFmtId="0" fontId="51" fillId="3" borderId="20" xfId="49" applyFill="1" applyBorder="1" applyAlignment="1">
      <alignment horizontal="center" vertical="center"/>
    </xf>
    <xf numFmtId="2" fontId="21" fillId="7" borderId="49" xfId="4" applyNumberFormat="1" applyFont="1" applyFill="1" applyBorder="1" applyAlignment="1" applyProtection="1">
      <alignment horizontal="left" vertical="center" wrapText="1"/>
      <protection locked="0"/>
    </xf>
    <xf numFmtId="0" fontId="30" fillId="0" borderId="26" xfId="0" applyFont="1" applyFill="1" applyBorder="1" applyAlignment="1">
      <alignment vertical="center"/>
    </xf>
    <xf numFmtId="0" fontId="30" fillId="0" borderId="7" xfId="0" applyFont="1" applyFill="1" applyBorder="1" applyAlignment="1">
      <alignment vertical="center"/>
    </xf>
    <xf numFmtId="0" fontId="30" fillId="0" borderId="27" xfId="0" applyFont="1" applyFill="1" applyBorder="1" applyAlignment="1">
      <alignment vertical="center"/>
    </xf>
    <xf numFmtId="0" fontId="57" fillId="0" borderId="26" xfId="40" applyFont="1" applyBorder="1" applyAlignment="1">
      <alignment horizontal="left" vertical="center" wrapText="1"/>
    </xf>
    <xf numFmtId="0" fontId="57" fillId="0" borderId="7" xfId="40" applyFont="1" applyBorder="1" applyAlignment="1">
      <alignment horizontal="left" vertical="center" wrapText="1"/>
    </xf>
    <xf numFmtId="0" fontId="57" fillId="0" borderId="27" xfId="40" applyFont="1" applyBorder="1" applyAlignment="1">
      <alignment horizontal="left" vertical="center" wrapText="1"/>
    </xf>
    <xf numFmtId="0" fontId="52" fillId="0" borderId="7" xfId="40" applyBorder="1" applyAlignment="1">
      <alignment horizontal="left" vertical="center" wrapText="1"/>
    </xf>
    <xf numFmtId="0" fontId="52" fillId="0" borderId="27" xfId="40" applyBorder="1" applyAlignment="1">
      <alignment horizontal="left" vertical="center" wrapText="1"/>
    </xf>
    <xf numFmtId="0" fontId="21" fillId="13" borderId="26" xfId="0" quotePrefix="1" applyFont="1" applyFill="1" applyBorder="1" applyAlignment="1">
      <alignment horizontal="left" vertical="center" wrapText="1"/>
    </xf>
    <xf numFmtId="0" fontId="21" fillId="13" borderId="7" xfId="0" quotePrefix="1" applyFont="1" applyFill="1" applyBorder="1" applyAlignment="1">
      <alignment horizontal="left" vertical="center" wrapText="1"/>
    </xf>
    <xf numFmtId="0" fontId="21" fillId="13" borderId="49" xfId="0" quotePrefix="1" applyFont="1" applyFill="1" applyBorder="1" applyAlignment="1">
      <alignment horizontal="left" vertical="center" wrapText="1"/>
    </xf>
    <xf numFmtId="0" fontId="21" fillId="0" borderId="13" xfId="0" applyFont="1" applyBorder="1" applyAlignment="1">
      <alignment horizontal="left" vertical="center" wrapText="1"/>
    </xf>
    <xf numFmtId="0" fontId="21" fillId="0" borderId="84" xfId="0" applyFont="1" applyBorder="1" applyAlignment="1">
      <alignment horizontal="left" vertical="center" wrapText="1"/>
    </xf>
    <xf numFmtId="0" fontId="47" fillId="0" borderId="84" xfId="43" applyFill="1" applyBorder="1" applyAlignment="1">
      <alignment horizontal="right" vertical="center"/>
    </xf>
    <xf numFmtId="0" fontId="47" fillId="7" borderId="84" xfId="43" applyFill="1" applyBorder="1" applyAlignment="1" applyProtection="1">
      <alignment horizontal="left" vertical="center"/>
      <protection locked="0"/>
    </xf>
    <xf numFmtId="0" fontId="47" fillId="0" borderId="84" xfId="43" applyFill="1" applyBorder="1" applyAlignment="1">
      <alignment horizontal="right" vertical="center" shrinkToFit="1"/>
    </xf>
    <xf numFmtId="164" fontId="47" fillId="7" borderId="84" xfId="49" applyNumberFormat="1" applyFont="1" applyFill="1" applyBorder="1" applyAlignment="1" applyProtection="1">
      <alignment horizontal="center" vertical="center"/>
      <protection locked="0"/>
    </xf>
    <xf numFmtId="164" fontId="47" fillId="7" borderId="86" xfId="49" applyNumberFormat="1" applyFont="1" applyFill="1" applyBorder="1" applyAlignment="1" applyProtection="1">
      <alignment horizontal="center" vertical="center"/>
      <protection locked="0"/>
    </xf>
    <xf numFmtId="164" fontId="47" fillId="7" borderId="7" xfId="49" applyNumberFormat="1" applyFont="1" applyFill="1" applyBorder="1" applyAlignment="1" applyProtection="1">
      <alignment horizontal="center" vertical="center"/>
      <protection locked="0"/>
    </xf>
    <xf numFmtId="164" fontId="47" fillId="7" borderId="49" xfId="49" applyNumberFormat="1" applyFont="1" applyFill="1" applyBorder="1" applyAlignment="1" applyProtection="1">
      <alignment horizontal="center" vertical="center"/>
      <protection locked="0"/>
    </xf>
    <xf numFmtId="166" fontId="47" fillId="7" borderId="86" xfId="49" applyNumberFormat="1" applyFont="1" applyFill="1" applyBorder="1" applyAlignment="1" applyProtection="1">
      <alignment horizontal="center" vertical="center"/>
      <protection locked="0"/>
    </xf>
    <xf numFmtId="166" fontId="47" fillId="7" borderId="7" xfId="49" applyNumberFormat="1" applyFont="1" applyFill="1" applyBorder="1" applyAlignment="1" applyProtection="1">
      <alignment horizontal="center" vertical="center"/>
      <protection locked="0"/>
    </xf>
    <xf numFmtId="166" fontId="47" fillId="7" borderId="49" xfId="49" applyNumberFormat="1" applyFont="1" applyFill="1" applyBorder="1" applyAlignment="1" applyProtection="1">
      <alignment horizontal="center" vertical="center"/>
      <protection locked="0"/>
    </xf>
    <xf numFmtId="0" fontId="47" fillId="7" borderId="85" xfId="44" applyBorder="1" applyAlignment="1">
      <alignment horizontal="left" vertical="center" shrinkToFit="1"/>
      <protection locked="0"/>
    </xf>
    <xf numFmtId="0" fontId="47" fillId="0" borderId="13" xfId="43" applyFill="1" applyBorder="1" applyAlignment="1">
      <alignment horizontal="left" vertical="center" shrinkToFit="1"/>
    </xf>
    <xf numFmtId="0" fontId="47" fillId="0" borderId="84" xfId="43" applyFill="1" applyBorder="1" applyAlignment="1">
      <alignment horizontal="left" vertical="center" shrinkToFit="1"/>
    </xf>
    <xf numFmtId="0" fontId="21" fillId="0" borderId="13" xfId="43" applyFont="1" applyFill="1" applyBorder="1" applyAlignment="1">
      <alignment horizontal="left" vertical="center" shrinkToFit="1"/>
    </xf>
    <xf numFmtId="0" fontId="21" fillId="0" borderId="84" xfId="43" applyFont="1" applyFill="1" applyBorder="1" applyAlignment="1">
      <alignment horizontal="left" vertical="center" shrinkToFit="1"/>
    </xf>
    <xf numFmtId="172" fontId="47" fillId="7" borderId="86" xfId="44" applyNumberFormat="1" applyBorder="1" applyAlignment="1">
      <alignment horizontal="left" vertical="center" shrinkToFit="1"/>
      <protection locked="0"/>
    </xf>
    <xf numFmtId="172" fontId="47" fillId="7" borderId="7" xfId="44" applyNumberFormat="1" applyBorder="1" applyAlignment="1">
      <alignment horizontal="left" vertical="center" shrinkToFit="1"/>
      <protection locked="0"/>
    </xf>
    <xf numFmtId="172" fontId="47" fillId="7" borderId="49" xfId="44" applyNumberFormat="1" applyBorder="1" applyAlignment="1">
      <alignment horizontal="left" vertical="center" shrinkToFit="1"/>
      <protection locked="0"/>
    </xf>
    <xf numFmtId="0" fontId="21" fillId="0" borderId="86" xfId="43" applyFont="1" applyFill="1" applyBorder="1" applyAlignment="1">
      <alignment horizontal="right" vertical="center" shrinkToFit="1"/>
    </xf>
    <xf numFmtId="0" fontId="21" fillId="0" borderId="7" xfId="43" applyFont="1" applyFill="1" applyBorder="1" applyAlignment="1">
      <alignment horizontal="right" vertical="center" shrinkToFit="1"/>
    </xf>
    <xf numFmtId="0" fontId="21" fillId="7" borderId="86" xfId="43" applyFont="1" applyFill="1" applyBorder="1" applyAlignment="1" applyProtection="1">
      <alignment horizontal="left" vertical="center" shrinkToFit="1"/>
      <protection locked="0"/>
    </xf>
    <xf numFmtId="0" fontId="21" fillId="7" borderId="7" xfId="43" applyFont="1" applyFill="1" applyBorder="1" applyAlignment="1" applyProtection="1">
      <alignment horizontal="left" vertical="center" shrinkToFit="1"/>
      <protection locked="0"/>
    </xf>
    <xf numFmtId="0" fontId="21" fillId="7" borderId="49" xfId="43" applyFont="1" applyFill="1" applyBorder="1" applyAlignment="1" applyProtection="1">
      <alignment horizontal="left" vertical="center" shrinkToFit="1"/>
      <protection locked="0"/>
    </xf>
    <xf numFmtId="0" fontId="21" fillId="7" borderId="86" xfId="0" applyFont="1" applyFill="1" applyBorder="1" applyAlignment="1" applyProtection="1">
      <alignment horizontal="left" vertical="center" shrinkToFit="1"/>
      <protection locked="0"/>
    </xf>
    <xf numFmtId="0" fontId="21" fillId="7" borderId="7" xfId="0" applyFont="1" applyFill="1" applyBorder="1" applyAlignment="1" applyProtection="1">
      <alignment horizontal="left" vertical="center" shrinkToFit="1"/>
      <protection locked="0"/>
    </xf>
    <xf numFmtId="0" fontId="21" fillId="7" borderId="49" xfId="0" applyFont="1" applyFill="1" applyBorder="1" applyAlignment="1" applyProtection="1">
      <alignment horizontal="left" vertical="center" shrinkToFit="1"/>
      <protection locked="0"/>
    </xf>
    <xf numFmtId="0" fontId="21" fillId="0" borderId="86" xfId="44" applyNumberFormat="1" applyFont="1" applyFill="1" applyBorder="1" applyAlignment="1" applyProtection="1">
      <alignment horizontal="right" vertical="center" shrinkToFit="1"/>
    </xf>
    <xf numFmtId="0" fontId="21" fillId="0" borderId="7" xfId="44" applyNumberFormat="1" applyFont="1" applyFill="1" applyBorder="1" applyAlignment="1" applyProtection="1">
      <alignment horizontal="right" vertical="center" shrinkToFit="1"/>
    </xf>
    <xf numFmtId="0" fontId="0" fillId="0" borderId="86" xfId="44" applyNumberFormat="1" applyFont="1" applyFill="1" applyBorder="1" applyAlignment="1" applyProtection="1">
      <alignment horizontal="right" vertical="center" shrinkToFit="1"/>
    </xf>
    <xf numFmtId="0" fontId="0" fillId="0" borderId="7" xfId="44" applyNumberFormat="1" applyFont="1" applyFill="1" applyBorder="1" applyAlignment="1" applyProtection="1">
      <alignment horizontal="right" vertical="center" shrinkToFit="1"/>
    </xf>
    <xf numFmtId="0" fontId="21" fillId="7" borderId="86" xfId="44" applyNumberFormat="1" applyFont="1" applyBorder="1" applyAlignment="1">
      <alignment horizontal="center" vertical="center" shrinkToFit="1"/>
      <protection locked="0"/>
    </xf>
    <xf numFmtId="0" fontId="21" fillId="7" borderId="49" xfId="44" applyNumberFormat="1" applyFont="1" applyBorder="1" applyAlignment="1">
      <alignment horizontal="center" vertical="center" shrinkToFit="1"/>
      <protection locked="0"/>
    </xf>
    <xf numFmtId="0" fontId="0" fillId="0" borderId="13" xfId="43" applyFont="1" applyFill="1" applyBorder="1" applyAlignment="1">
      <alignment horizontal="left" vertical="center" shrinkToFit="1"/>
    </xf>
    <xf numFmtId="0" fontId="0" fillId="0" borderId="84" xfId="43" applyFont="1" applyFill="1" applyBorder="1" applyAlignment="1">
      <alignment horizontal="left" vertical="center" shrinkToFit="1"/>
    </xf>
    <xf numFmtId="0" fontId="0" fillId="0" borderId="86" xfId="43" applyFont="1" applyFill="1" applyBorder="1" applyAlignment="1">
      <alignment horizontal="right" vertical="center" shrinkToFit="1"/>
    </xf>
    <xf numFmtId="0" fontId="0" fillId="0" borderId="7" xfId="43" applyFont="1" applyFill="1" applyBorder="1" applyAlignment="1">
      <alignment horizontal="right" vertical="center" shrinkToFit="1"/>
    </xf>
    <xf numFmtId="0" fontId="0" fillId="7" borderId="86" xfId="43" applyFont="1" applyFill="1" applyBorder="1" applyAlignment="1" applyProtection="1">
      <alignment horizontal="left" vertical="center" shrinkToFit="1"/>
      <protection locked="0"/>
    </xf>
    <xf numFmtId="0" fontId="0" fillId="7" borderId="7" xfId="43" applyFont="1" applyFill="1" applyBorder="1" applyAlignment="1" applyProtection="1">
      <alignment horizontal="left" vertical="center" shrinkToFit="1"/>
      <protection locked="0"/>
    </xf>
    <xf numFmtId="0" fontId="0" fillId="7" borderId="49" xfId="43" applyFont="1" applyFill="1" applyBorder="1" applyAlignment="1" applyProtection="1">
      <alignment horizontal="left" vertical="center" shrinkToFit="1"/>
      <protection locked="0"/>
    </xf>
    <xf numFmtId="0" fontId="0" fillId="7" borderId="86" xfId="0" applyFill="1" applyBorder="1" applyAlignment="1" applyProtection="1">
      <alignment horizontal="left" vertical="center" shrinkToFit="1"/>
      <protection locked="0"/>
    </xf>
    <xf numFmtId="0" fontId="0" fillId="7" borderId="7" xfId="0" applyFill="1" applyBorder="1" applyAlignment="1" applyProtection="1">
      <alignment horizontal="left" vertical="center" shrinkToFit="1"/>
      <protection locked="0"/>
    </xf>
    <xf numFmtId="0" fontId="0" fillId="7" borderId="49" xfId="0" applyFill="1" applyBorder="1" applyAlignment="1" applyProtection="1">
      <alignment horizontal="left" vertical="center" shrinkToFit="1"/>
      <protection locked="0"/>
    </xf>
    <xf numFmtId="0" fontId="30" fillId="0" borderId="26" xfId="0" applyFont="1" applyBorder="1" applyAlignment="1">
      <alignment horizontal="left" vertical="center" wrapText="1"/>
    </xf>
    <xf numFmtId="0" fontId="30" fillId="0" borderId="7" xfId="0" applyFont="1" applyBorder="1" applyAlignment="1">
      <alignment horizontal="left" vertical="center" wrapText="1"/>
    </xf>
    <xf numFmtId="0" fontId="30" fillId="0" borderId="49" xfId="0" applyFont="1" applyBorder="1" applyAlignment="1">
      <alignment horizontal="left" vertical="center" wrapText="1"/>
    </xf>
    <xf numFmtId="0" fontId="21" fillId="13" borderId="86" xfId="0" quotePrefix="1" applyFont="1" applyFill="1" applyBorder="1" applyAlignment="1">
      <alignment horizontal="left" vertical="center" wrapText="1"/>
    </xf>
    <xf numFmtId="0" fontId="47" fillId="0" borderId="86" xfId="46" applyFont="1" applyBorder="1" applyAlignment="1">
      <alignment horizontal="right" vertical="center"/>
    </xf>
    <xf numFmtId="0" fontId="47" fillId="0" borderId="7" xfId="46" applyFont="1" applyBorder="1" applyAlignment="1">
      <alignment horizontal="right" vertical="center"/>
    </xf>
    <xf numFmtId="0" fontId="47" fillId="0" borderId="49" xfId="46" applyFont="1" applyBorder="1" applyAlignment="1">
      <alignment horizontal="right" vertical="center"/>
    </xf>
    <xf numFmtId="0" fontId="30" fillId="0" borderId="13" xfId="0" applyFont="1" applyBorder="1" applyAlignment="1">
      <alignment horizontal="left" vertical="center" wrapText="1"/>
    </xf>
    <xf numFmtId="0" fontId="51" fillId="3" borderId="26" xfId="49" applyFill="1" applyBorder="1" applyAlignment="1">
      <alignment horizontal="center" vertical="center"/>
    </xf>
    <xf numFmtId="0" fontId="51" fillId="3" borderId="7" xfId="49" applyFill="1" applyBorder="1" applyAlignment="1">
      <alignment horizontal="center" vertical="center"/>
    </xf>
    <xf numFmtId="0" fontId="51" fillId="3" borderId="27" xfId="49" applyFill="1" applyBorder="1" applyAlignment="1">
      <alignment horizontal="center" vertical="center"/>
    </xf>
    <xf numFmtId="0" fontId="30" fillId="0" borderId="19" xfId="0" applyFont="1" applyFill="1" applyBorder="1" applyAlignment="1" applyProtection="1">
      <alignment horizontal="left" vertical="center" wrapText="1"/>
      <protection locked="0"/>
    </xf>
    <xf numFmtId="0" fontId="30" fillId="0" borderId="4"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21" fillId="13" borderId="26" xfId="631" applyFont="1" applyFill="1" applyBorder="1" applyAlignment="1">
      <alignment horizontal="left" vertical="center" wrapText="1"/>
    </xf>
    <xf numFmtId="0" fontId="21" fillId="13" borderId="7" xfId="631" applyFont="1" applyFill="1" applyBorder="1" applyAlignment="1">
      <alignment horizontal="left" vertical="center" wrapText="1"/>
    </xf>
    <xf numFmtId="0" fontId="21" fillId="13" borderId="49" xfId="631" applyFont="1" applyFill="1" applyBorder="1" applyAlignment="1">
      <alignment horizontal="left" vertical="center" wrapText="1"/>
    </xf>
    <xf numFmtId="0" fontId="47" fillId="13" borderId="86" xfId="632" applyFill="1" applyBorder="1" applyAlignment="1">
      <alignment horizontal="left" vertical="center" wrapText="1"/>
    </xf>
    <xf numFmtId="0" fontId="47" fillId="13" borderId="7" xfId="632" applyFill="1" applyBorder="1" applyAlignment="1">
      <alignment horizontal="left" vertical="center" wrapText="1"/>
    </xf>
    <xf numFmtId="0" fontId="47" fillId="13" borderId="49" xfId="632" applyFill="1" applyBorder="1" applyAlignment="1">
      <alignment horizontal="left" vertical="center" wrapText="1"/>
    </xf>
    <xf numFmtId="0" fontId="51" fillId="3" borderId="13" xfId="49" applyFill="1" applyBorder="1" applyAlignment="1">
      <alignment horizontal="center" vertical="center"/>
    </xf>
    <xf numFmtId="0" fontId="51" fillId="3" borderId="84" xfId="49" applyFill="1" applyBorder="1" applyAlignment="1">
      <alignment horizontal="center" vertical="center"/>
    </xf>
    <xf numFmtId="0" fontId="51" fillId="3" borderId="85" xfId="49" applyFill="1" applyBorder="1" applyAlignment="1">
      <alignment horizontal="center" vertical="center"/>
    </xf>
    <xf numFmtId="0" fontId="21" fillId="0" borderId="26" xfId="43" applyFont="1" applyFill="1" applyBorder="1" applyAlignment="1">
      <alignment horizontal="left" vertical="center" shrinkToFit="1"/>
    </xf>
    <xf numFmtId="0" fontId="21" fillId="0" borderId="7" xfId="43" applyFont="1" applyFill="1" applyBorder="1" applyAlignment="1">
      <alignment horizontal="left" vertical="center" shrinkToFit="1"/>
    </xf>
    <xf numFmtId="0" fontId="21" fillId="0" borderId="49" xfId="43" applyFont="1" applyFill="1" applyBorder="1" applyAlignment="1">
      <alignment horizontal="left" vertical="center" shrinkToFit="1"/>
    </xf>
    <xf numFmtId="0" fontId="21" fillId="0" borderId="13" xfId="4" applyFont="1" applyBorder="1" applyAlignment="1">
      <alignment horizontal="left" vertical="center" wrapText="1"/>
    </xf>
    <xf numFmtId="0" fontId="21" fillId="0" borderId="84" xfId="4" applyFont="1" applyBorder="1" applyAlignment="1">
      <alignment horizontal="left" vertical="center" wrapText="1"/>
    </xf>
    <xf numFmtId="0" fontId="21" fillId="0" borderId="85" xfId="4" applyFont="1" applyBorder="1" applyAlignment="1">
      <alignment horizontal="left" vertical="center" wrapText="1"/>
    </xf>
    <xf numFmtId="166" fontId="47" fillId="7" borderId="27" xfId="49" applyNumberFormat="1" applyFont="1" applyFill="1" applyBorder="1" applyAlignment="1" applyProtection="1">
      <alignment horizontal="center" vertical="center"/>
      <protection locked="0"/>
    </xf>
    <xf numFmtId="0" fontId="21" fillId="0" borderId="49" xfId="44" applyNumberFormat="1" applyFont="1" applyFill="1" applyBorder="1" applyAlignment="1" applyProtection="1">
      <alignment horizontal="right" vertical="center" shrinkToFit="1"/>
    </xf>
    <xf numFmtId="0" fontId="21" fillId="7" borderId="86" xfId="44" applyNumberFormat="1" applyFont="1" applyBorder="1" applyAlignment="1">
      <alignment horizontal="left" vertical="center" shrinkToFit="1"/>
      <protection locked="0"/>
    </xf>
    <xf numFmtId="0" fontId="21" fillId="7" borderId="7" xfId="44" applyNumberFormat="1" applyFont="1" applyBorder="1" applyAlignment="1">
      <alignment horizontal="left" vertical="center" shrinkToFit="1"/>
      <protection locked="0"/>
    </xf>
    <xf numFmtId="0" fontId="21" fillId="7" borderId="49" xfId="44" applyNumberFormat="1" applyFont="1" applyBorder="1" applyAlignment="1">
      <alignment horizontal="left" vertical="center" shrinkToFit="1"/>
      <protection locked="0"/>
    </xf>
    <xf numFmtId="171" fontId="47" fillId="7" borderId="84" xfId="44" applyNumberFormat="1" applyFont="1" applyBorder="1" applyAlignment="1">
      <alignment horizontal="left" vertical="center" shrinkToFit="1"/>
      <protection locked="0"/>
    </xf>
    <xf numFmtId="171" fontId="47" fillId="7" borderId="85" xfId="44" applyNumberFormat="1" applyFont="1" applyBorder="1" applyAlignment="1">
      <alignment horizontal="left" vertical="center" shrinkToFit="1"/>
      <protection locked="0"/>
    </xf>
    <xf numFmtId="0" fontId="21" fillId="0" borderId="26" xfId="43" applyFont="1" applyFill="1" applyBorder="1" applyAlignment="1">
      <alignment horizontal="left" vertical="center"/>
    </xf>
    <xf numFmtId="0" fontId="21" fillId="0" borderId="7" xfId="43" applyFont="1" applyFill="1" applyBorder="1" applyAlignment="1">
      <alignment horizontal="left" vertical="center"/>
    </xf>
    <xf numFmtId="172" fontId="21" fillId="7" borderId="2" xfId="44" applyNumberFormat="1" applyFont="1" applyBorder="1" applyAlignment="1">
      <alignment horizontal="left" vertical="center" shrinkToFit="1"/>
      <protection locked="0"/>
    </xf>
    <xf numFmtId="172" fontId="21" fillId="7" borderId="5" xfId="44" applyNumberFormat="1" applyFont="1" applyBorder="1" applyAlignment="1">
      <alignment horizontal="left" vertical="center" shrinkToFit="1"/>
      <protection locked="0"/>
    </xf>
    <xf numFmtId="172" fontId="21" fillId="7" borderId="37" xfId="44" applyNumberFormat="1" applyFont="1" applyBorder="1" applyAlignment="1">
      <alignment horizontal="left" vertical="center" shrinkToFit="1"/>
      <protection locked="0"/>
    </xf>
    <xf numFmtId="0" fontId="47" fillId="7" borderId="13" xfId="49" applyFont="1" applyFill="1" applyBorder="1" applyAlignment="1" applyProtection="1">
      <alignment horizontal="left" vertical="center"/>
      <protection locked="0"/>
    </xf>
    <xf numFmtId="0" fontId="47" fillId="7" borderId="84" xfId="49" applyFont="1" applyFill="1" applyBorder="1" applyAlignment="1" applyProtection="1">
      <alignment horizontal="left" vertical="center"/>
      <protection locked="0"/>
    </xf>
    <xf numFmtId="0" fontId="48" fillId="0" borderId="26" xfId="0" applyFont="1" applyBorder="1" applyAlignment="1">
      <alignment horizontal="left" vertical="center"/>
    </xf>
    <xf numFmtId="0" fontId="48" fillId="0" borderId="7" xfId="0" applyFont="1" applyBorder="1" applyAlignment="1">
      <alignment horizontal="left" vertical="center"/>
    </xf>
    <xf numFmtId="0" fontId="48" fillId="0" borderId="27" xfId="0" applyFont="1" applyBorder="1" applyAlignment="1">
      <alignment horizontal="left" vertical="center"/>
    </xf>
    <xf numFmtId="0" fontId="21" fillId="7" borderId="86" xfId="43" applyFont="1" applyFill="1" applyBorder="1" applyAlignment="1" applyProtection="1">
      <alignment horizontal="left" vertical="center"/>
      <protection locked="0"/>
    </xf>
    <xf numFmtId="0" fontId="21" fillId="7" borderId="7" xfId="43" applyFont="1" applyFill="1" applyBorder="1" applyAlignment="1" applyProtection="1">
      <alignment horizontal="left" vertical="center"/>
      <protection locked="0"/>
    </xf>
    <xf numFmtId="0" fontId="21" fillId="7" borderId="49" xfId="43" applyFont="1" applyFill="1" applyBorder="1" applyAlignment="1" applyProtection="1">
      <alignment horizontal="left" vertical="center"/>
      <protection locked="0"/>
    </xf>
    <xf numFmtId="0" fontId="47" fillId="0" borderId="7" xfId="632" applyFill="1" applyBorder="1" applyAlignment="1">
      <alignment horizontal="right" vertical="center" wrapText="1"/>
    </xf>
    <xf numFmtId="0" fontId="47" fillId="0" borderId="49" xfId="632" applyFill="1" applyBorder="1" applyAlignment="1">
      <alignment horizontal="right" vertical="center" wrapText="1"/>
    </xf>
    <xf numFmtId="0" fontId="21" fillId="0" borderId="49" xfId="43" applyFont="1" applyFill="1" applyBorder="1" applyAlignment="1">
      <alignment horizontal="right" vertical="center" shrinkToFit="1"/>
    </xf>
    <xf numFmtId="0" fontId="21" fillId="7" borderId="27" xfId="44" applyNumberFormat="1" applyFont="1" applyBorder="1" applyAlignment="1">
      <alignment horizontal="left" vertical="center" shrinkToFit="1"/>
      <protection locked="0"/>
    </xf>
    <xf numFmtId="0" fontId="21" fillId="7" borderId="2" xfId="0" applyFont="1" applyFill="1" applyBorder="1" applyAlignment="1" applyProtection="1">
      <alignment horizontal="left" vertical="center" shrinkToFit="1"/>
      <protection locked="0"/>
    </xf>
    <xf numFmtId="0" fontId="21" fillId="7" borderId="5" xfId="0" applyFont="1" applyFill="1" applyBorder="1" applyAlignment="1" applyProtection="1">
      <alignment horizontal="left" vertical="center" shrinkToFit="1"/>
      <protection locked="0"/>
    </xf>
    <xf numFmtId="0" fontId="21" fillId="7" borderId="4" xfId="0" applyFont="1" applyFill="1" applyBorder="1" applyAlignment="1" applyProtection="1">
      <alignment horizontal="left" vertical="center" shrinkToFit="1"/>
      <protection locked="0"/>
    </xf>
    <xf numFmtId="0" fontId="21" fillId="7" borderId="79" xfId="0" applyFont="1" applyFill="1" applyBorder="1" applyAlignment="1" applyProtection="1">
      <alignment horizontal="left" vertical="center" shrinkToFit="1"/>
      <protection locked="0"/>
    </xf>
    <xf numFmtId="0" fontId="21" fillId="0" borderId="48" xfId="44" applyNumberFormat="1" applyFont="1" applyFill="1" applyBorder="1" applyAlignment="1" applyProtection="1">
      <alignment horizontal="right" vertical="center" shrinkToFit="1"/>
    </xf>
    <xf numFmtId="0" fontId="21" fillId="0" borderId="79" xfId="44" applyNumberFormat="1" applyFont="1" applyFill="1" applyBorder="1" applyAlignment="1" applyProtection="1">
      <alignment horizontal="right" vertical="center" shrinkToFit="1"/>
    </xf>
    <xf numFmtId="0" fontId="21" fillId="7" borderId="48" xfId="44" applyNumberFormat="1" applyFont="1" applyBorder="1" applyAlignment="1">
      <alignment horizontal="left" vertical="center" shrinkToFit="1"/>
      <protection locked="0"/>
    </xf>
    <xf numFmtId="0" fontId="21" fillId="7" borderId="4" xfId="44" applyNumberFormat="1" applyFont="1" applyBorder="1" applyAlignment="1">
      <alignment horizontal="left" vertical="center" shrinkToFit="1"/>
      <protection locked="0"/>
    </xf>
    <xf numFmtId="0" fontId="21" fillId="7" borderId="4" xfId="43" applyFont="1" applyFill="1" applyBorder="1" applyAlignment="1" applyProtection="1">
      <alignment horizontal="left" vertical="center" shrinkToFit="1"/>
      <protection locked="0"/>
    </xf>
    <xf numFmtId="0" fontId="48" fillId="0" borderId="13" xfId="48" applyFont="1" applyBorder="1" applyAlignment="1">
      <alignment horizontal="left" vertical="center"/>
    </xf>
    <xf numFmtId="0" fontId="48" fillId="0" borderId="84" xfId="48" applyFont="1" applyBorder="1" applyAlignment="1">
      <alignment horizontal="left" vertical="center"/>
    </xf>
    <xf numFmtId="0" fontId="48" fillId="0" borderId="85" xfId="48" applyFont="1" applyBorder="1" applyAlignment="1">
      <alignment horizontal="left" vertical="center"/>
    </xf>
    <xf numFmtId="0" fontId="47" fillId="7" borderId="84" xfId="43" applyFill="1" applyBorder="1" applyAlignment="1" applyProtection="1">
      <alignment horizontal="left" vertical="center" shrinkToFit="1"/>
      <protection locked="0"/>
    </xf>
    <xf numFmtId="0" fontId="47" fillId="7" borderId="84" xfId="48" applyFill="1" applyBorder="1" applyAlignment="1" applyProtection="1">
      <alignment horizontal="left" vertical="center" shrinkToFit="1"/>
      <protection locked="0"/>
    </xf>
    <xf numFmtId="0" fontId="22" fillId="3" borderId="26"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27" xfId="0" applyFont="1" applyFill="1" applyBorder="1" applyAlignment="1">
      <alignment horizontal="center" vertical="center"/>
    </xf>
    <xf numFmtId="0" fontId="21" fillId="0" borderId="86" xfId="44" applyNumberFormat="1" applyFont="1" applyFill="1" applyBorder="1" applyAlignment="1" applyProtection="1">
      <alignment horizontal="left" vertical="center" shrinkToFit="1"/>
    </xf>
    <xf numFmtId="0" fontId="21" fillId="0" borderId="7" xfId="44" applyNumberFormat="1" applyFont="1" applyFill="1" applyBorder="1" applyAlignment="1" applyProtection="1">
      <alignment horizontal="left" vertical="center" shrinkToFit="1"/>
    </xf>
    <xf numFmtId="0" fontId="21" fillId="0" borderId="49" xfId="44" applyNumberFormat="1" applyFont="1" applyFill="1" applyBorder="1" applyAlignment="1" applyProtection="1">
      <alignment horizontal="left" vertical="center" shrinkToFit="1"/>
    </xf>
    <xf numFmtId="0" fontId="21" fillId="7" borderId="2" xfId="43" applyFont="1" applyFill="1" applyBorder="1" applyAlignment="1" applyProtection="1">
      <alignment horizontal="left" vertical="center"/>
      <protection locked="0"/>
    </xf>
    <xf numFmtId="0" fontId="21" fillId="7" borderId="5" xfId="43" applyFont="1" applyFill="1" applyBorder="1" applyAlignment="1" applyProtection="1">
      <alignment horizontal="left" vertical="center"/>
      <protection locked="0"/>
    </xf>
    <xf numFmtId="0" fontId="21" fillId="7" borderId="86" xfId="0" applyFont="1" applyFill="1" applyBorder="1" applyAlignment="1" applyProtection="1">
      <alignment horizontal="left" vertical="center"/>
      <protection locked="0"/>
    </xf>
    <xf numFmtId="0" fontId="21" fillId="7" borderId="7" xfId="0" applyFont="1" applyFill="1" applyBorder="1" applyAlignment="1" applyProtection="1">
      <alignment horizontal="left" vertical="center"/>
      <protection locked="0"/>
    </xf>
    <xf numFmtId="0" fontId="21" fillId="7" borderId="49" xfId="0" applyFont="1" applyFill="1" applyBorder="1" applyAlignment="1" applyProtection="1">
      <alignment horizontal="left" vertical="center"/>
      <protection locked="0"/>
    </xf>
    <xf numFmtId="0" fontId="0" fillId="7" borderId="86" xfId="44" applyNumberFormat="1" applyFont="1" applyBorder="1" applyAlignment="1">
      <alignment horizontal="center" vertical="center" shrinkToFit="1"/>
      <protection locked="0"/>
    </xf>
    <xf numFmtId="0" fontId="0" fillId="7" borderId="49" xfId="44" applyNumberFormat="1" applyFont="1" applyBorder="1" applyAlignment="1">
      <alignment horizontal="center" vertical="center" shrinkToFit="1"/>
      <protection locked="0"/>
    </xf>
    <xf numFmtId="0" fontId="21" fillId="0" borderId="29" xfId="0" applyFont="1" applyBorder="1" applyAlignment="1">
      <alignment horizontal="left" vertical="center" wrapText="1"/>
    </xf>
    <xf numFmtId="0" fontId="21" fillId="0" borderId="21" xfId="0" applyFont="1" applyBorder="1" applyAlignment="1">
      <alignment horizontal="left" vertical="center" wrapText="1"/>
    </xf>
    <xf numFmtId="0" fontId="21" fillId="0" borderId="30" xfId="0" applyFont="1" applyBorder="1" applyAlignment="1">
      <alignment horizontal="left" vertical="center" wrapText="1"/>
    </xf>
    <xf numFmtId="0" fontId="47" fillId="7" borderId="31" xfId="633" applyBorder="1" applyAlignment="1">
      <alignment horizontal="center" vertical="center"/>
      <protection locked="0"/>
    </xf>
    <xf numFmtId="0" fontId="47" fillId="7" borderId="32" xfId="633" applyBorder="1" applyAlignment="1">
      <alignment horizontal="center" vertical="center"/>
      <protection locked="0"/>
    </xf>
    <xf numFmtId="0" fontId="21" fillId="7" borderId="2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21" fillId="7" borderId="27" xfId="0" applyFont="1" applyFill="1" applyBorder="1" applyAlignment="1">
      <alignment horizontal="left" vertical="center" wrapText="1"/>
    </xf>
    <xf numFmtId="0" fontId="21" fillId="13" borderId="27" xfId="0" quotePrefix="1" applyFont="1" applyFill="1" applyBorder="1" applyAlignment="1">
      <alignment horizontal="left" vertical="center" wrapText="1"/>
    </xf>
    <xf numFmtId="173" fontId="21" fillId="14" borderId="26" xfId="48" applyNumberFormat="1" applyFont="1" applyFill="1" applyBorder="1" applyAlignment="1">
      <alignment horizontal="left" vertical="center" wrapText="1"/>
    </xf>
    <xf numFmtId="173" fontId="21" fillId="14" borderId="7" xfId="48" applyNumberFormat="1" applyFont="1" applyFill="1" applyBorder="1" applyAlignment="1">
      <alignment horizontal="left" vertical="center" wrapText="1"/>
    </xf>
    <xf numFmtId="173" fontId="21" fillId="14" borderId="27" xfId="48" applyNumberFormat="1" applyFont="1" applyFill="1" applyBorder="1" applyAlignment="1">
      <alignment horizontal="left" vertical="center" wrapText="1"/>
    </xf>
    <xf numFmtId="0" fontId="47" fillId="7" borderId="26" xfId="44" applyBorder="1" applyAlignment="1" applyProtection="1">
      <alignment horizontal="left" vertical="center" wrapText="1"/>
    </xf>
    <xf numFmtId="0" fontId="47" fillId="7" borderId="7" xfId="44" applyBorder="1" applyAlignment="1" applyProtection="1">
      <alignment horizontal="left" vertical="center" wrapText="1"/>
    </xf>
    <xf numFmtId="0" fontId="47" fillId="7" borderId="27" xfId="44" applyBorder="1" applyAlignment="1" applyProtection="1">
      <alignment horizontal="left" vertical="center" wrapText="1"/>
    </xf>
    <xf numFmtId="0" fontId="47" fillId="0" borderId="26" xfId="48" applyBorder="1" applyAlignment="1">
      <alignment horizontal="left" vertical="top" wrapText="1"/>
    </xf>
    <xf numFmtId="0" fontId="47" fillId="0" borderId="7" xfId="48" applyBorder="1" applyAlignment="1">
      <alignment horizontal="left" vertical="top" wrapText="1"/>
    </xf>
    <xf numFmtId="0" fontId="47" fillId="0" borderId="49" xfId="48" applyBorder="1" applyAlignment="1">
      <alignment horizontal="left" vertical="top" wrapText="1"/>
    </xf>
    <xf numFmtId="0" fontId="47" fillId="0" borderId="26" xfId="43" applyFill="1" applyBorder="1" applyAlignment="1">
      <alignment horizontal="left" vertical="center" shrinkToFit="1"/>
    </xf>
    <xf numFmtId="0" fontId="47" fillId="0" borderId="7" xfId="43" applyFill="1" applyBorder="1" applyAlignment="1">
      <alignment horizontal="left" vertical="center" shrinkToFit="1"/>
    </xf>
    <xf numFmtId="0" fontId="47" fillId="7" borderId="86" xfId="43" applyFill="1" applyBorder="1" applyAlignment="1" applyProtection="1">
      <alignment horizontal="left" vertical="center" shrinkToFit="1"/>
      <protection locked="0"/>
    </xf>
    <xf numFmtId="0" fontId="47" fillId="7" borderId="7" xfId="43" applyFill="1" applyBorder="1" applyAlignment="1" applyProtection="1">
      <alignment horizontal="left" vertical="center" shrinkToFit="1"/>
      <protection locked="0"/>
    </xf>
    <xf numFmtId="0" fontId="47" fillId="7" borderId="49" xfId="43" applyFill="1" applyBorder="1" applyAlignment="1" applyProtection="1">
      <alignment horizontal="left" vertical="center" shrinkToFit="1"/>
      <protection locked="0"/>
    </xf>
    <xf numFmtId="2" fontId="21" fillId="7" borderId="48" xfId="4" applyNumberFormat="1" applyFont="1" applyFill="1" applyBorder="1" applyAlignment="1" applyProtection="1">
      <alignment horizontal="left" vertical="center"/>
      <protection locked="0"/>
    </xf>
    <xf numFmtId="2" fontId="21" fillId="7" borderId="4" xfId="4" applyNumberFormat="1" applyFont="1" applyFill="1" applyBorder="1" applyAlignment="1" applyProtection="1">
      <alignment horizontal="left" vertical="center"/>
      <protection locked="0"/>
    </xf>
    <xf numFmtId="2" fontId="21" fillId="7" borderId="20" xfId="4" applyNumberFormat="1" applyFont="1" applyFill="1" applyBorder="1" applyAlignment="1" applyProtection="1">
      <alignment horizontal="left" vertical="center"/>
      <protection locked="0"/>
    </xf>
    <xf numFmtId="0" fontId="21" fillId="0" borderId="19" xfId="4" applyFont="1" applyBorder="1" applyAlignment="1">
      <alignment horizontal="left" vertical="center"/>
    </xf>
    <xf numFmtId="0" fontId="21" fillId="0" borderId="4" xfId="4" applyFont="1" applyBorder="1" applyAlignment="1">
      <alignment horizontal="left" vertical="center"/>
    </xf>
    <xf numFmtId="0" fontId="21" fillId="0" borderId="79" xfId="4" applyFont="1" applyBorder="1" applyAlignment="1">
      <alignment horizontal="left" vertical="center"/>
    </xf>
    <xf numFmtId="0" fontId="21" fillId="39" borderId="86" xfId="639" applyFont="1" applyFill="1" applyBorder="1" applyAlignment="1">
      <alignment horizontal="left" vertical="center" wrapText="1"/>
    </xf>
    <xf numFmtId="0" fontId="21" fillId="39" borderId="7" xfId="639" applyFont="1" applyFill="1" applyBorder="1" applyAlignment="1">
      <alignment horizontal="left" vertical="center" wrapText="1"/>
    </xf>
    <xf numFmtId="0" fontId="21" fillId="39" borderId="49" xfId="639" applyFont="1" applyFill="1" applyBorder="1" applyAlignment="1">
      <alignment horizontal="left" vertical="center" wrapText="1"/>
    </xf>
    <xf numFmtId="0" fontId="47" fillId="39" borderId="86" xfId="640" applyFill="1" applyBorder="1" applyAlignment="1">
      <alignment horizontal="left" vertical="center" wrapText="1"/>
    </xf>
    <xf numFmtId="0" fontId="47" fillId="39" borderId="7" xfId="640" applyFill="1" applyBorder="1" applyAlignment="1">
      <alignment horizontal="left" vertical="center" wrapText="1"/>
    </xf>
    <xf numFmtId="0" fontId="47" fillId="39" borderId="49" xfId="640" applyFill="1" applyBorder="1" applyAlignment="1">
      <alignment horizontal="left" vertical="center" wrapText="1"/>
    </xf>
    <xf numFmtId="0" fontId="21" fillId="39" borderId="84" xfId="0" quotePrefix="1" applyFont="1" applyFill="1" applyBorder="1" applyAlignment="1">
      <alignment horizontal="left" vertical="center" wrapText="1"/>
    </xf>
    <xf numFmtId="0" fontId="47" fillId="7" borderId="84" xfId="44" applyBorder="1" applyAlignment="1">
      <alignment horizontal="center" vertical="center" wrapText="1"/>
      <protection locked="0"/>
    </xf>
    <xf numFmtId="0" fontId="47" fillId="7" borderId="85" xfId="44" applyBorder="1" applyAlignment="1">
      <alignment horizontal="center" vertical="center" wrapText="1"/>
      <protection locked="0"/>
    </xf>
    <xf numFmtId="0" fontId="47" fillId="7" borderId="26" xfId="0" applyFont="1" applyFill="1" applyBorder="1" applyAlignment="1" applyProtection="1">
      <alignment horizontal="left" vertical="top" wrapText="1"/>
      <protection locked="0"/>
    </xf>
    <xf numFmtId="0" fontId="47" fillId="7" borderId="7" xfId="0" applyFont="1" applyFill="1" applyBorder="1" applyAlignment="1" applyProtection="1">
      <alignment horizontal="left" vertical="top" wrapText="1"/>
      <protection locked="0"/>
    </xf>
    <xf numFmtId="0" fontId="47" fillId="7" borderId="49" xfId="0" applyFont="1" applyFill="1" applyBorder="1" applyAlignment="1" applyProtection="1">
      <alignment horizontal="left" vertical="top" wrapText="1"/>
      <protection locked="0"/>
    </xf>
    <xf numFmtId="0" fontId="47" fillId="7" borderId="86" xfId="0" applyFont="1" applyFill="1" applyBorder="1" applyAlignment="1" applyProtection="1">
      <alignment horizontal="center" vertical="center" wrapText="1"/>
      <protection locked="0"/>
    </xf>
    <xf numFmtId="0" fontId="47" fillId="7" borderId="7" xfId="0" applyFont="1" applyFill="1" applyBorder="1" applyAlignment="1" applyProtection="1">
      <alignment horizontal="center" vertical="center" wrapText="1"/>
      <protection locked="0"/>
    </xf>
    <xf numFmtId="0" fontId="47" fillId="7" borderId="49" xfId="0" applyFont="1" applyFill="1" applyBorder="1" applyAlignment="1" applyProtection="1">
      <alignment horizontal="center" vertical="center" wrapText="1"/>
      <protection locked="0"/>
    </xf>
    <xf numFmtId="0" fontId="47" fillId="0" borderId="31" xfId="0" applyFont="1" applyFill="1" applyBorder="1" applyAlignment="1" applyProtection="1">
      <alignment horizontal="center" vertical="center" wrapText="1"/>
      <protection locked="0"/>
    </xf>
    <xf numFmtId="0" fontId="47" fillId="0" borderId="21" xfId="0" applyFont="1" applyFill="1" applyBorder="1" applyAlignment="1" applyProtection="1">
      <alignment horizontal="center" vertical="center" wrapText="1"/>
      <protection locked="0"/>
    </xf>
    <xf numFmtId="0" fontId="47" fillId="0" borderId="30" xfId="0" applyFont="1" applyFill="1" applyBorder="1" applyAlignment="1" applyProtection="1">
      <alignment horizontal="center" vertical="center" wrapText="1"/>
      <protection locked="0"/>
    </xf>
    <xf numFmtId="0" fontId="47" fillId="7" borderId="31" xfId="0" applyFont="1" applyFill="1" applyBorder="1" applyAlignment="1" applyProtection="1">
      <alignment horizontal="center" vertical="center" wrapText="1"/>
      <protection locked="0"/>
    </xf>
    <xf numFmtId="0" fontId="47" fillId="7" borderId="21" xfId="0" applyFont="1" applyFill="1" applyBorder="1" applyAlignment="1" applyProtection="1">
      <alignment horizontal="center" vertical="center" wrapText="1"/>
      <protection locked="0"/>
    </xf>
    <xf numFmtId="0" fontId="47" fillId="7" borderId="30" xfId="0" applyFont="1" applyFill="1" applyBorder="1" applyAlignment="1" applyProtection="1">
      <alignment horizontal="center" vertical="center" wrapText="1"/>
      <protection locked="0"/>
    </xf>
    <xf numFmtId="0" fontId="47" fillId="0" borderId="16" xfId="0" applyFont="1" applyFill="1" applyBorder="1" applyAlignment="1" applyProtection="1">
      <alignment horizontal="left" vertical="top" wrapText="1"/>
      <protection locked="0"/>
    </xf>
    <xf numFmtId="0" fontId="47" fillId="0" borderId="17" xfId="0" applyFont="1" applyFill="1" applyBorder="1" applyAlignment="1" applyProtection="1">
      <alignment horizontal="left" vertical="top" wrapText="1"/>
      <protection locked="0"/>
    </xf>
    <xf numFmtId="0" fontId="47" fillId="7" borderId="53" xfId="0" applyFont="1" applyFill="1" applyBorder="1" applyAlignment="1" applyProtection="1">
      <alignment horizontal="left" vertical="center" wrapText="1"/>
      <protection locked="0"/>
    </xf>
    <xf numFmtId="0" fontId="47" fillId="7" borderId="17" xfId="0" applyFont="1" applyFill="1" applyBorder="1" applyAlignment="1" applyProtection="1">
      <alignment horizontal="left" vertical="center" wrapText="1"/>
      <protection locked="0"/>
    </xf>
    <xf numFmtId="0" fontId="47" fillId="7" borderId="18" xfId="0" applyFont="1" applyFill="1" applyBorder="1" applyAlignment="1" applyProtection="1">
      <alignment horizontal="left" vertical="center" wrapText="1"/>
      <protection locked="0"/>
    </xf>
    <xf numFmtId="38" fontId="47" fillId="7" borderId="31" xfId="0" applyNumberFormat="1" applyFont="1" applyFill="1" applyBorder="1" applyAlignment="1" applyProtection="1">
      <alignment horizontal="center" vertical="center"/>
      <protection locked="0"/>
    </xf>
    <xf numFmtId="38" fontId="47" fillId="7" borderId="32" xfId="0" applyNumberFormat="1" applyFont="1" applyFill="1" applyBorder="1" applyAlignment="1" applyProtection="1">
      <alignment horizontal="center" vertical="center"/>
      <protection locked="0"/>
    </xf>
    <xf numFmtId="0" fontId="47" fillId="0" borderId="86" xfId="0" applyFont="1" applyFill="1" applyBorder="1" applyAlignment="1" applyProtection="1">
      <alignment horizontal="center" vertical="center" wrapText="1"/>
      <protection locked="0"/>
    </xf>
    <xf numFmtId="0" fontId="47" fillId="0" borderId="7" xfId="0" applyFont="1" applyFill="1" applyBorder="1" applyAlignment="1" applyProtection="1">
      <alignment horizontal="center" vertical="center" wrapText="1"/>
      <protection locked="0"/>
    </xf>
    <xf numFmtId="0" fontId="47" fillId="0" borderId="49" xfId="0" applyFont="1" applyFill="1" applyBorder="1" applyAlignment="1" applyProtection="1">
      <alignment horizontal="center" vertical="center" wrapText="1"/>
      <protection locked="0"/>
    </xf>
    <xf numFmtId="38" fontId="47" fillId="7" borderId="86" xfId="0" applyNumberFormat="1" applyFont="1" applyFill="1" applyBorder="1" applyAlignment="1" applyProtection="1">
      <alignment horizontal="center" vertical="center"/>
      <protection locked="0"/>
    </xf>
    <xf numFmtId="38" fontId="47" fillId="7" borderId="27" xfId="0" applyNumberFormat="1" applyFont="1" applyFill="1" applyBorder="1" applyAlignment="1" applyProtection="1">
      <alignment horizontal="center" vertical="center"/>
      <protection locked="0"/>
    </xf>
    <xf numFmtId="0" fontId="21" fillId="0" borderId="26" xfId="46" quotePrefix="1" applyFont="1" applyBorder="1" applyAlignment="1">
      <alignment horizontal="left" vertical="top" wrapText="1"/>
    </xf>
    <xf numFmtId="0" fontId="21" fillId="0" borderId="7" xfId="46" quotePrefix="1" applyFont="1" applyBorder="1" applyAlignment="1">
      <alignment horizontal="left" vertical="top" wrapText="1"/>
    </xf>
    <xf numFmtId="0" fontId="21" fillId="0" borderId="49" xfId="46" quotePrefix="1" applyFont="1" applyBorder="1" applyAlignment="1">
      <alignment horizontal="left" vertical="top" wrapText="1"/>
    </xf>
    <xf numFmtId="166" fontId="47" fillId="7" borderId="86" xfId="0" applyNumberFormat="1" applyFont="1" applyFill="1" applyBorder="1" applyAlignment="1" applyProtection="1">
      <alignment horizontal="center" vertical="center"/>
      <protection locked="0"/>
    </xf>
    <xf numFmtId="166" fontId="47" fillId="7" borderId="7" xfId="0" applyNumberFormat="1" applyFont="1" applyFill="1" applyBorder="1" applyAlignment="1" applyProtection="1">
      <alignment horizontal="center" vertical="center"/>
      <protection locked="0"/>
    </xf>
    <xf numFmtId="166" fontId="47" fillId="7" borderId="27" xfId="0" applyNumberFormat="1" applyFont="1" applyFill="1" applyBorder="1" applyAlignment="1" applyProtection="1">
      <alignment horizontal="center" vertical="center"/>
      <protection locked="0"/>
    </xf>
    <xf numFmtId="0" fontId="48" fillId="4" borderId="26" xfId="0" applyFont="1" applyFill="1" applyBorder="1" applyAlignment="1">
      <alignment horizontal="center"/>
    </xf>
    <xf numFmtId="0" fontId="48" fillId="4" borderId="7" xfId="0" applyFont="1" applyFill="1" applyBorder="1" applyAlignment="1">
      <alignment horizontal="center"/>
    </xf>
    <xf numFmtId="0" fontId="48" fillId="4" borderId="86" xfId="0" applyFont="1" applyFill="1" applyBorder="1" applyAlignment="1">
      <alignment horizontal="center" wrapText="1"/>
    </xf>
    <xf numFmtId="0" fontId="48" fillId="4" borderId="7" xfId="0" applyFont="1" applyFill="1" applyBorder="1" applyAlignment="1">
      <alignment horizontal="center" wrapText="1"/>
    </xf>
    <xf numFmtId="0" fontId="48" fillId="4" borderId="49" xfId="0" applyFont="1" applyFill="1" applyBorder="1" applyAlignment="1">
      <alignment horizontal="center" wrapText="1"/>
    </xf>
    <xf numFmtId="0" fontId="47" fillId="0" borderId="13" xfId="0" applyFont="1" applyBorder="1" applyAlignment="1">
      <alignment horizontal="left" vertical="center" wrapText="1"/>
    </xf>
    <xf numFmtId="0" fontId="47" fillId="0" borderId="84" xfId="0" applyFont="1" applyBorder="1" applyAlignment="1">
      <alignment horizontal="left" vertical="center" wrapText="1"/>
    </xf>
    <xf numFmtId="0" fontId="21" fillId="0" borderId="13" xfId="46" quotePrefix="1" applyFont="1" applyBorder="1" applyAlignment="1">
      <alignment horizontal="left" vertical="top" wrapText="1"/>
    </xf>
    <xf numFmtId="0" fontId="21" fillId="0" borderId="84" xfId="46" quotePrefix="1" applyFont="1" applyBorder="1" applyAlignment="1">
      <alignment horizontal="left" vertical="top" wrapText="1"/>
    </xf>
    <xf numFmtId="0" fontId="21" fillId="0" borderId="85" xfId="46" quotePrefix="1" applyFont="1" applyBorder="1" applyAlignment="1">
      <alignment horizontal="left" vertical="top" wrapText="1"/>
    </xf>
    <xf numFmtId="0" fontId="47" fillId="7" borderId="13" xfId="44" applyNumberFormat="1" applyBorder="1" applyAlignment="1">
      <alignment horizontal="left" vertical="top" wrapText="1"/>
      <protection locked="0"/>
    </xf>
    <xf numFmtId="0" fontId="47" fillId="7" borderId="84" xfId="44" applyNumberFormat="1" applyBorder="1" applyAlignment="1">
      <alignment horizontal="left" vertical="top" wrapText="1"/>
      <protection locked="0"/>
    </xf>
    <xf numFmtId="0" fontId="47" fillId="7" borderId="85" xfId="44" applyNumberFormat="1" applyBorder="1" applyAlignment="1">
      <alignment horizontal="left" vertical="top" wrapText="1"/>
      <protection locked="0"/>
    </xf>
    <xf numFmtId="0" fontId="47" fillId="0" borderId="84" xfId="44" applyFill="1" applyBorder="1" applyAlignment="1" applyProtection="1">
      <alignment horizontal="center" vertical="center" wrapText="1"/>
    </xf>
    <xf numFmtId="0" fontId="47" fillId="0" borderId="85" xfId="44" applyFill="1" applyBorder="1" applyAlignment="1" applyProtection="1">
      <alignment horizontal="center" vertical="center" wrapText="1"/>
    </xf>
    <xf numFmtId="0" fontId="47" fillId="7" borderId="86" xfId="0" applyFont="1" applyFill="1" applyBorder="1" applyAlignment="1" applyProtection="1">
      <alignment horizontal="center" vertical="center"/>
      <protection locked="0"/>
    </xf>
    <xf numFmtId="0" fontId="47" fillId="7" borderId="7" xfId="0" applyFont="1" applyFill="1" applyBorder="1" applyAlignment="1" applyProtection="1">
      <alignment horizontal="center" vertical="center"/>
      <protection locked="0"/>
    </xf>
    <xf numFmtId="0" fontId="47" fillId="7" borderId="49" xfId="0" applyFont="1" applyFill="1" applyBorder="1" applyAlignment="1" applyProtection="1">
      <alignment horizontal="center" vertical="center"/>
      <protection locked="0"/>
    </xf>
    <xf numFmtId="0" fontId="48" fillId="0" borderId="86" xfId="0" applyFont="1" applyBorder="1" applyAlignment="1">
      <alignment horizontal="center" wrapText="1"/>
    </xf>
    <xf numFmtId="0" fontId="48" fillId="0" borderId="7" xfId="0" applyFont="1" applyBorder="1" applyAlignment="1">
      <alignment horizontal="center" wrapText="1"/>
    </xf>
    <xf numFmtId="0" fontId="48" fillId="0" borderId="27" xfId="0" applyFont="1" applyBorder="1" applyAlignment="1">
      <alignment horizontal="center" wrapText="1"/>
    </xf>
    <xf numFmtId="0" fontId="47" fillId="0" borderId="26" xfId="0" applyFont="1" applyBorder="1" applyAlignment="1">
      <alignment horizontal="left" vertical="center" wrapText="1"/>
    </xf>
    <xf numFmtId="0" fontId="47" fillId="0" borderId="7" xfId="0" applyFont="1" applyBorder="1" applyAlignment="1">
      <alignment horizontal="left" vertical="center" wrapText="1"/>
    </xf>
    <xf numFmtId="0" fontId="47" fillId="0" borderId="49" xfId="0" applyFont="1" applyBorder="1" applyAlignment="1">
      <alignment horizontal="left" vertical="center" wrapText="1"/>
    </xf>
    <xf numFmtId="0" fontId="47" fillId="7" borderId="86" xfId="0" applyFont="1" applyFill="1" applyBorder="1" applyAlignment="1" applyProtection="1">
      <alignment horizontal="left" vertical="center" wrapText="1"/>
      <protection locked="0"/>
    </xf>
    <xf numFmtId="0" fontId="47" fillId="7" borderId="7" xfId="0" applyFont="1" applyFill="1" applyBorder="1" applyAlignment="1" applyProtection="1">
      <alignment horizontal="left" vertical="center" wrapText="1"/>
      <protection locked="0"/>
    </xf>
    <xf numFmtId="0" fontId="47" fillId="7" borderId="27" xfId="0" applyFont="1" applyFill="1" applyBorder="1" applyAlignment="1" applyProtection="1">
      <alignment horizontal="left" vertical="center" wrapText="1"/>
      <protection locked="0"/>
    </xf>
    <xf numFmtId="0" fontId="51" fillId="3" borderId="14" xfId="49" applyFill="1" applyBorder="1" applyAlignment="1">
      <alignment horizontal="center" vertical="center"/>
    </xf>
    <xf numFmtId="0" fontId="51" fillId="3" borderId="0" xfId="49" applyFill="1" applyBorder="1" applyAlignment="1">
      <alignment horizontal="center" vertical="center"/>
    </xf>
    <xf numFmtId="0" fontId="51" fillId="3" borderId="25" xfId="49" applyFill="1" applyBorder="1" applyAlignment="1">
      <alignment horizontal="center" vertical="center"/>
    </xf>
    <xf numFmtId="0" fontId="48" fillId="0" borderId="26" xfId="49" applyFont="1" applyFill="1" applyBorder="1" applyAlignment="1">
      <alignment horizontal="left" vertical="center"/>
    </xf>
    <xf numFmtId="0" fontId="48" fillId="0" borderId="7" xfId="49" applyFont="1" applyFill="1" applyBorder="1" applyAlignment="1">
      <alignment horizontal="left" vertical="center"/>
    </xf>
    <xf numFmtId="0" fontId="48" fillId="0" borderId="27" xfId="49" applyFont="1" applyFill="1" applyBorder="1" applyAlignment="1">
      <alignment horizontal="left" vertical="center"/>
    </xf>
    <xf numFmtId="0" fontId="57" fillId="13" borderId="86" xfId="40" quotePrefix="1" applyFont="1" applyFill="1" applyBorder="1" applyAlignment="1">
      <alignment horizontal="left" vertical="center" wrapText="1"/>
    </xf>
    <xf numFmtId="0" fontId="57" fillId="13" borderId="7" xfId="40" quotePrefix="1" applyFont="1" applyFill="1" applyBorder="1" applyAlignment="1">
      <alignment horizontal="left" vertical="center" wrapText="1"/>
    </xf>
    <xf numFmtId="0" fontId="21" fillId="0" borderId="13" xfId="4" applyFont="1" applyBorder="1" applyAlignment="1">
      <alignment horizontal="left" vertical="top"/>
    </xf>
    <xf numFmtId="0" fontId="21" fillId="0" borderId="84" xfId="4" applyFont="1" applyBorder="1" applyAlignment="1">
      <alignment horizontal="left" vertical="top"/>
    </xf>
    <xf numFmtId="166" fontId="21" fillId="7" borderId="84" xfId="4" applyNumberFormat="1" applyFont="1" applyFill="1" applyBorder="1" applyAlignment="1" applyProtection="1">
      <alignment horizontal="center" vertical="center"/>
      <protection locked="0"/>
    </xf>
    <xf numFmtId="0" fontId="21" fillId="0" borderId="84" xfId="4" applyFont="1" applyBorder="1" applyAlignment="1">
      <alignment horizontal="right" vertical="top"/>
    </xf>
    <xf numFmtId="166" fontId="21" fillId="7" borderId="85" xfId="4" applyNumberFormat="1" applyFont="1" applyFill="1" applyBorder="1" applyAlignment="1" applyProtection="1">
      <alignment horizontal="center" vertical="center"/>
      <protection locked="0"/>
    </xf>
    <xf numFmtId="0" fontId="47" fillId="7" borderId="49" xfId="46" applyFont="1" applyFill="1" applyBorder="1" applyAlignment="1" applyProtection="1">
      <alignment horizontal="left" vertical="top" wrapText="1"/>
      <protection locked="0"/>
    </xf>
    <xf numFmtId="0" fontId="47" fillId="7" borderId="84" xfId="46" applyFont="1" applyFill="1" applyBorder="1" applyAlignment="1" applyProtection="1">
      <alignment horizontal="left" vertical="top" wrapText="1"/>
      <protection locked="0"/>
    </xf>
    <xf numFmtId="0" fontId="47" fillId="7" borderId="86" xfId="46" applyFont="1" applyFill="1" applyBorder="1" applyAlignment="1" applyProtection="1">
      <alignment horizontal="left" vertical="top" wrapText="1"/>
      <protection locked="0"/>
    </xf>
    <xf numFmtId="0" fontId="47" fillId="7" borderId="7" xfId="46" applyFont="1" applyFill="1" applyBorder="1" applyAlignment="1" applyProtection="1">
      <alignment horizontal="left" vertical="top" wrapText="1"/>
      <protection locked="0"/>
    </xf>
    <xf numFmtId="14" fontId="47" fillId="7" borderId="86" xfId="46" applyNumberFormat="1" applyFont="1" applyFill="1" applyBorder="1" applyAlignment="1" applyProtection="1">
      <alignment horizontal="left" vertical="top" wrapText="1"/>
      <protection locked="0"/>
    </xf>
    <xf numFmtId="14" fontId="47" fillId="7" borderId="7" xfId="46" applyNumberFormat="1" applyFont="1" applyFill="1" applyBorder="1" applyAlignment="1" applyProtection="1">
      <alignment horizontal="left" vertical="top" wrapText="1"/>
      <protection locked="0"/>
    </xf>
    <xf numFmtId="14" fontId="47" fillId="7" borderId="49" xfId="46" applyNumberFormat="1" applyFont="1" applyFill="1" applyBorder="1" applyAlignment="1" applyProtection="1">
      <alignment horizontal="left" vertical="top" wrapText="1"/>
      <protection locked="0"/>
    </xf>
    <xf numFmtId="166" fontId="47" fillId="7" borderId="84" xfId="46" applyNumberFormat="1" applyFont="1" applyFill="1" applyBorder="1" applyAlignment="1" applyProtection="1">
      <alignment horizontal="center" vertical="center" wrapText="1"/>
      <protection locked="0"/>
    </xf>
    <xf numFmtId="166" fontId="47" fillId="7" borderId="85" xfId="46" applyNumberFormat="1" applyFont="1" applyFill="1" applyBorder="1" applyAlignment="1" applyProtection="1">
      <alignment horizontal="center" vertical="center" wrapText="1"/>
      <protection locked="0"/>
    </xf>
    <xf numFmtId="0" fontId="48" fillId="0" borderId="13" xfId="44" applyNumberFormat="1" applyFont="1" applyFill="1" applyBorder="1" applyAlignment="1" applyProtection="1">
      <alignment horizontal="left" vertical="center" wrapText="1"/>
    </xf>
    <xf numFmtId="0" fontId="48" fillId="0" borderId="84" xfId="44" applyNumberFormat="1" applyFont="1" applyFill="1" applyBorder="1" applyAlignment="1" applyProtection="1">
      <alignment horizontal="left" vertical="center" wrapText="1"/>
    </xf>
    <xf numFmtId="0" fontId="47" fillId="0" borderId="13" xfId="43" applyFill="1" applyBorder="1" applyAlignment="1">
      <alignment horizontal="left" vertical="top" wrapText="1"/>
    </xf>
    <xf numFmtId="0" fontId="47" fillId="0" borderId="84" xfId="43" applyFill="1" applyBorder="1" applyAlignment="1">
      <alignment horizontal="left" vertical="top" wrapText="1"/>
    </xf>
    <xf numFmtId="0" fontId="48" fillId="0" borderId="49" xfId="46" applyFont="1" applyBorder="1" applyAlignment="1" applyProtection="1">
      <alignment horizontal="center" wrapText="1"/>
    </xf>
    <xf numFmtId="0" fontId="48" fillId="0" borderId="84" xfId="46" applyFont="1" applyBorder="1" applyAlignment="1" applyProtection="1">
      <alignment horizontal="center" wrapText="1"/>
    </xf>
    <xf numFmtId="0" fontId="48" fillId="0" borderId="86" xfId="44" applyFont="1" applyFill="1" applyBorder="1" applyAlignment="1" applyProtection="1">
      <alignment horizontal="center" wrapText="1"/>
    </xf>
    <xf numFmtId="0" fontId="48" fillId="0" borderId="7" xfId="44" applyFont="1" applyFill="1" applyBorder="1" applyAlignment="1" applyProtection="1">
      <alignment horizontal="center" wrapText="1"/>
    </xf>
    <xf numFmtId="0" fontId="48" fillId="0" borderId="49" xfId="44" applyFont="1" applyFill="1" applyBorder="1" applyAlignment="1" applyProtection="1">
      <alignment horizontal="center" wrapText="1"/>
    </xf>
    <xf numFmtId="0" fontId="48" fillId="0" borderId="84" xfId="44" applyFont="1" applyFill="1" applyBorder="1" applyAlignment="1" applyProtection="1">
      <alignment horizontal="center" wrapText="1"/>
    </xf>
    <xf numFmtId="0" fontId="48" fillId="0" borderId="85" xfId="44" applyFont="1" applyFill="1" applyBorder="1" applyAlignment="1" applyProtection="1">
      <alignment horizontal="center" wrapText="1"/>
    </xf>
    <xf numFmtId="0" fontId="48" fillId="0" borderId="13" xfId="44" applyFont="1" applyFill="1" applyBorder="1" applyAlignment="1" applyProtection="1">
      <alignment horizontal="center" wrapText="1"/>
    </xf>
    <xf numFmtId="0" fontId="21" fillId="13" borderId="34" xfId="46" quotePrefix="1" applyFont="1" applyFill="1" applyBorder="1" applyAlignment="1">
      <alignment horizontal="left" vertical="top" wrapText="1"/>
    </xf>
    <xf numFmtId="0" fontId="21" fillId="13" borderId="8" xfId="46" quotePrefix="1" applyFont="1" applyFill="1" applyBorder="1" applyAlignment="1">
      <alignment horizontal="left" vertical="top" wrapText="1"/>
    </xf>
    <xf numFmtId="0" fontId="21" fillId="13" borderId="2" xfId="46" quotePrefix="1" applyFont="1" applyFill="1" applyBorder="1" applyAlignment="1">
      <alignment horizontal="left" vertical="top" wrapText="1"/>
    </xf>
    <xf numFmtId="0" fontId="21" fillId="13" borderId="5" xfId="46" quotePrefix="1" applyFont="1" applyFill="1" applyBorder="1" applyAlignment="1">
      <alignment horizontal="left" vertical="top" wrapText="1"/>
    </xf>
    <xf numFmtId="0" fontId="21" fillId="13" borderId="9" xfId="46" quotePrefix="1" applyFont="1" applyFill="1" applyBorder="1" applyAlignment="1">
      <alignment horizontal="left" vertical="top" wrapText="1"/>
    </xf>
    <xf numFmtId="0" fontId="21" fillId="13" borderId="2" xfId="40" quotePrefix="1" applyFont="1" applyFill="1" applyBorder="1" applyAlignment="1">
      <alignment horizontal="left" vertical="top" wrapText="1"/>
    </xf>
    <xf numFmtId="0" fontId="21" fillId="13" borderId="5" xfId="40" quotePrefix="1" applyFont="1" applyFill="1" applyBorder="1" applyAlignment="1">
      <alignment horizontal="left" vertical="top" wrapText="1"/>
    </xf>
    <xf numFmtId="0" fontId="21" fillId="13" borderId="9" xfId="40" quotePrefix="1" applyFont="1" applyFill="1" applyBorder="1" applyAlignment="1">
      <alignment horizontal="left" vertical="top" wrapText="1"/>
    </xf>
    <xf numFmtId="0" fontId="47" fillId="0" borderId="2" xfId="46" applyFont="1" applyBorder="1" applyAlignment="1">
      <alignment horizontal="right" vertical="top"/>
    </xf>
    <xf numFmtId="0" fontId="47" fillId="0" borderId="5" xfId="46" applyFont="1" applyBorder="1" applyAlignment="1">
      <alignment horizontal="right" vertical="top"/>
    </xf>
    <xf numFmtId="0" fontId="47" fillId="0" borderId="9" xfId="46" applyFont="1" applyBorder="1" applyAlignment="1">
      <alignment horizontal="right" vertical="top"/>
    </xf>
    <xf numFmtId="0" fontId="47" fillId="7" borderId="8" xfId="44" applyBorder="1" applyAlignment="1">
      <alignment horizontal="center" vertical="center" wrapText="1"/>
      <protection locked="0"/>
    </xf>
    <xf numFmtId="0" fontId="47" fillId="7" borderId="41" xfId="44" applyBorder="1" applyAlignment="1">
      <alignment horizontal="center" vertical="center" wrapText="1"/>
      <protection locked="0"/>
    </xf>
    <xf numFmtId="0" fontId="48" fillId="0" borderId="13" xfId="0" applyFont="1" applyBorder="1" applyAlignment="1">
      <alignment horizontal="left" vertical="center" wrapText="1"/>
    </xf>
    <xf numFmtId="0" fontId="51" fillId="3" borderId="22" xfId="49" applyFill="1" applyBorder="1" applyAlignment="1">
      <alignment horizontal="center" vertical="center"/>
    </xf>
    <xf numFmtId="0" fontId="51" fillId="3" borderId="23" xfId="49" applyFill="1" applyBorder="1" applyAlignment="1">
      <alignment horizontal="center" vertical="center"/>
    </xf>
    <xf numFmtId="0" fontId="51" fillId="3" borderId="24" xfId="49" applyFill="1" applyBorder="1" applyAlignment="1">
      <alignment horizontal="center" vertical="center"/>
    </xf>
    <xf numFmtId="0" fontId="61" fillId="0" borderId="86" xfId="0" applyFont="1" applyBorder="1" applyAlignment="1">
      <alignment horizontal="right" vertical="center" wrapText="1"/>
    </xf>
    <xf numFmtId="0" fontId="61" fillId="0" borderId="7" xfId="0" applyFont="1" applyBorder="1" applyAlignment="1">
      <alignment horizontal="right" vertical="center" wrapText="1"/>
    </xf>
    <xf numFmtId="0" fontId="61" fillId="0" borderId="49" xfId="0" applyFont="1" applyBorder="1" applyAlignment="1">
      <alignment horizontal="right" vertical="center" wrapText="1"/>
    </xf>
    <xf numFmtId="0" fontId="47" fillId="0" borderId="8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8" fillId="4" borderId="49" xfId="0" applyFont="1" applyFill="1" applyBorder="1" applyAlignment="1">
      <alignment horizontal="center"/>
    </xf>
    <xf numFmtId="0" fontId="47" fillId="0" borderId="86" xfId="0" applyFont="1" applyBorder="1" applyAlignment="1">
      <alignment horizontal="right" vertical="center" wrapText="1"/>
    </xf>
    <xf numFmtId="0" fontId="47" fillId="0" borderId="7" xfId="0" applyFont="1" applyBorder="1" applyAlignment="1">
      <alignment horizontal="right" vertical="center" wrapText="1"/>
    </xf>
    <xf numFmtId="0" fontId="47" fillId="0" borderId="49" xfId="0" applyFont="1" applyBorder="1" applyAlignment="1">
      <alignment horizontal="right" vertical="center" wrapText="1"/>
    </xf>
    <xf numFmtId="0" fontId="47" fillId="7" borderId="86" xfId="0" applyFont="1" applyFill="1" applyBorder="1" applyAlignment="1" applyProtection="1">
      <alignment horizontal="left" vertical="top" wrapText="1"/>
      <protection locked="0"/>
    </xf>
    <xf numFmtId="2" fontId="47" fillId="0" borderId="86" xfId="0" applyNumberFormat="1" applyFont="1" applyBorder="1" applyAlignment="1">
      <alignment horizontal="center" vertical="center" wrapText="1"/>
    </xf>
    <xf numFmtId="2" fontId="47" fillId="0" borderId="49" xfId="0" applyNumberFormat="1" applyFont="1" applyBorder="1" applyAlignment="1">
      <alignment horizontal="center" vertical="center" wrapText="1"/>
    </xf>
    <xf numFmtId="0" fontId="47" fillId="7" borderId="84" xfId="44" applyBorder="1" applyAlignment="1" applyProtection="1">
      <alignment horizontal="center" vertical="center" wrapText="1"/>
      <protection locked="0"/>
    </xf>
    <xf numFmtId="0" fontId="47" fillId="0" borderId="48" xfId="0" applyFont="1" applyBorder="1" applyAlignment="1">
      <alignment horizontal="center" vertical="center"/>
    </xf>
    <xf numFmtId="0" fontId="47" fillId="0" borderId="20" xfId="0" applyFont="1" applyBorder="1" applyAlignment="1">
      <alignment horizontal="center" vertical="center"/>
    </xf>
    <xf numFmtId="0" fontId="48" fillId="4" borderId="27" xfId="0" applyFont="1" applyFill="1" applyBorder="1" applyAlignment="1">
      <alignment horizontal="center" wrapText="1"/>
    </xf>
    <xf numFmtId="0" fontId="47" fillId="7" borderId="85" xfId="44" applyBorder="1" applyAlignment="1" applyProtection="1">
      <alignment horizontal="center" vertical="center" wrapText="1"/>
      <protection locked="0"/>
    </xf>
    <xf numFmtId="0" fontId="21" fillId="13" borderId="42" xfId="46" quotePrefix="1" applyFont="1" applyFill="1" applyBorder="1" applyAlignment="1">
      <alignment horizontal="left" vertical="center" wrapText="1"/>
    </xf>
    <xf numFmtId="0" fontId="21" fillId="13" borderId="44" xfId="46" quotePrefix="1" applyFont="1" applyFill="1" applyBorder="1" applyAlignment="1">
      <alignment horizontal="left" vertical="center" wrapText="1"/>
    </xf>
    <xf numFmtId="0" fontId="21" fillId="13" borderId="31" xfId="40" quotePrefix="1" applyFont="1" applyFill="1" applyBorder="1" applyAlignment="1">
      <alignment horizontal="left" vertical="center" wrapText="1"/>
    </xf>
    <xf numFmtId="0" fontId="21" fillId="13" borderId="21" xfId="40" quotePrefix="1" applyFont="1" applyFill="1" applyBorder="1" applyAlignment="1">
      <alignment horizontal="left" vertical="center" wrapText="1"/>
    </xf>
    <xf numFmtId="0" fontId="21" fillId="13" borderId="30" xfId="40" quotePrefix="1" applyFont="1" applyFill="1" applyBorder="1" applyAlignment="1">
      <alignment horizontal="left" vertical="center" wrapText="1"/>
    </xf>
    <xf numFmtId="0" fontId="47" fillId="0" borderId="31" xfId="46" applyFont="1" applyBorder="1" applyAlignment="1">
      <alignment horizontal="right" vertical="center"/>
    </xf>
    <xf numFmtId="0" fontId="47" fillId="0" borderId="21" xfId="46" applyFont="1" applyBorder="1" applyAlignment="1">
      <alignment horizontal="right" vertical="center"/>
    </xf>
    <xf numFmtId="0" fontId="47" fillId="0" borderId="30" xfId="46" applyFont="1" applyBorder="1" applyAlignment="1">
      <alignment horizontal="right" vertical="center"/>
    </xf>
    <xf numFmtId="0" fontId="47" fillId="7" borderId="44" xfId="44" applyBorder="1" applyAlignment="1">
      <alignment horizontal="center" vertical="center" wrapText="1"/>
      <protection locked="0"/>
    </xf>
    <xf numFmtId="0" fontId="47" fillId="7" borderId="43" xfId="44" applyBorder="1" applyAlignment="1">
      <alignment horizontal="center" vertical="center" wrapText="1"/>
      <protection locked="0"/>
    </xf>
    <xf numFmtId="38" fontId="47" fillId="7" borderId="7" xfId="0" applyNumberFormat="1" applyFont="1" applyFill="1" applyBorder="1" applyAlignment="1" applyProtection="1">
      <alignment horizontal="center" vertical="center"/>
      <protection locked="0"/>
    </xf>
    <xf numFmtId="0" fontId="21" fillId="13" borderId="31" xfId="46" quotePrefix="1" applyFont="1" applyFill="1" applyBorder="1" applyAlignment="1">
      <alignment horizontal="left" vertical="center" wrapText="1"/>
    </xf>
    <xf numFmtId="0" fontId="21" fillId="13" borderId="21" xfId="46" quotePrefix="1" applyFont="1" applyFill="1" applyBorder="1" applyAlignment="1">
      <alignment horizontal="left" vertical="center" wrapText="1"/>
    </xf>
    <xf numFmtId="0" fontId="21" fillId="13" borderId="30" xfId="46" quotePrefix="1" applyFont="1" applyFill="1" applyBorder="1" applyAlignment="1">
      <alignment horizontal="left" vertical="center" wrapText="1"/>
    </xf>
    <xf numFmtId="0" fontId="21" fillId="13" borderId="31" xfId="40" quotePrefix="1" applyFont="1" applyFill="1" applyBorder="1" applyAlignment="1">
      <alignment horizontal="left" vertical="top" wrapText="1"/>
    </xf>
    <xf numFmtId="0" fontId="21" fillId="13" borderId="21" xfId="40" quotePrefix="1" applyFont="1" applyFill="1" applyBorder="1" applyAlignment="1">
      <alignment horizontal="left" vertical="top" wrapText="1"/>
    </xf>
    <xf numFmtId="0" fontId="21" fillId="13" borderId="30" xfId="40" quotePrefix="1" applyFont="1" applyFill="1" applyBorder="1" applyAlignment="1">
      <alignment horizontal="left" vertical="top" wrapText="1"/>
    </xf>
    <xf numFmtId="0" fontId="47" fillId="0" borderId="42" xfId="0" applyFont="1" applyBorder="1" applyAlignment="1">
      <alignment horizontal="left" vertical="center" wrapText="1"/>
    </xf>
    <xf numFmtId="0" fontId="47" fillId="0" borderId="44" xfId="0" applyFont="1" applyBorder="1" applyAlignment="1">
      <alignment horizontal="left" vertical="center" wrapText="1"/>
    </xf>
    <xf numFmtId="0" fontId="21" fillId="13" borderId="13" xfId="46" quotePrefix="1" applyFont="1" applyFill="1" applyBorder="1" applyAlignment="1">
      <alignment horizontal="left" vertical="top" wrapText="1"/>
    </xf>
    <xf numFmtId="0" fontId="21" fillId="13" borderId="84" xfId="46" quotePrefix="1" applyFont="1" applyFill="1" applyBorder="1" applyAlignment="1">
      <alignment horizontal="left" vertical="top" wrapText="1"/>
    </xf>
    <xf numFmtId="0" fontId="21" fillId="13" borderId="86" xfId="46" quotePrefix="1" applyFont="1" applyFill="1" applyBorder="1" applyAlignment="1">
      <alignment horizontal="left" vertical="top" wrapText="1"/>
    </xf>
    <xf numFmtId="0" fontId="21" fillId="13" borderId="7" xfId="46" quotePrefix="1" applyFont="1" applyFill="1" applyBorder="1" applyAlignment="1">
      <alignment horizontal="left" vertical="top" wrapText="1"/>
    </xf>
    <xf numFmtId="0" fontId="21" fillId="13" borderId="49" xfId="46" quotePrefix="1" applyFont="1" applyFill="1" applyBorder="1" applyAlignment="1">
      <alignment horizontal="left" vertical="top" wrapText="1"/>
    </xf>
    <xf numFmtId="0" fontId="47" fillId="0" borderId="86" xfId="46" applyFont="1" applyBorder="1" applyAlignment="1">
      <alignment horizontal="right" vertical="top"/>
    </xf>
    <xf numFmtId="0" fontId="47" fillId="0" borderId="7" xfId="46" applyFont="1" applyBorder="1" applyAlignment="1">
      <alignment horizontal="right" vertical="top"/>
    </xf>
    <xf numFmtId="0" fontId="47" fillId="0" borderId="49" xfId="46" applyFont="1" applyBorder="1" applyAlignment="1">
      <alignment horizontal="right" vertical="top"/>
    </xf>
    <xf numFmtId="0" fontId="21" fillId="13" borderId="86" xfId="40" quotePrefix="1" applyFont="1" applyFill="1" applyBorder="1" applyAlignment="1">
      <alignment horizontal="left" vertical="top" wrapText="1"/>
    </xf>
    <xf numFmtId="0" fontId="21" fillId="13" borderId="7" xfId="40" quotePrefix="1" applyFont="1" applyFill="1" applyBorder="1" applyAlignment="1">
      <alignment horizontal="left" vertical="top" wrapText="1"/>
    </xf>
    <xf numFmtId="0" fontId="21" fillId="13" borderId="49" xfId="40" quotePrefix="1" applyFont="1" applyFill="1" applyBorder="1" applyAlignment="1">
      <alignment horizontal="left" vertical="top" wrapText="1"/>
    </xf>
    <xf numFmtId="0" fontId="47" fillId="7" borderId="7" xfId="44" applyFont="1" applyBorder="1" applyAlignment="1">
      <alignment horizontal="center" vertical="center" wrapText="1"/>
      <protection locked="0"/>
    </xf>
    <xf numFmtId="0" fontId="47" fillId="7" borderId="27" xfId="44" applyFont="1" applyBorder="1" applyAlignment="1">
      <alignment horizontal="center" vertical="center" wrapText="1"/>
      <protection locked="0"/>
    </xf>
    <xf numFmtId="0" fontId="47" fillId="7" borderId="27" xfId="0" applyFont="1" applyFill="1" applyBorder="1" applyAlignment="1" applyProtection="1">
      <alignment horizontal="left" vertical="top" wrapText="1"/>
      <protection locked="0"/>
    </xf>
    <xf numFmtId="0" fontId="21" fillId="13" borderId="13" xfId="46" quotePrefix="1" applyFont="1" applyFill="1" applyBorder="1" applyAlignment="1">
      <alignment horizontal="left" vertical="center" wrapText="1"/>
    </xf>
    <xf numFmtId="0" fontId="21" fillId="13" borderId="84" xfId="46" quotePrefix="1" applyFont="1" applyFill="1" applyBorder="1" applyAlignment="1">
      <alignment horizontal="left" vertical="center" wrapText="1"/>
    </xf>
    <xf numFmtId="0" fontId="21" fillId="13" borderId="86" xfId="46" quotePrefix="1" applyFont="1" applyFill="1" applyBorder="1" applyAlignment="1">
      <alignment horizontal="left" vertical="center" wrapText="1"/>
    </xf>
    <xf numFmtId="0" fontId="21" fillId="13" borderId="7" xfId="46" quotePrefix="1" applyFont="1" applyFill="1" applyBorder="1" applyAlignment="1">
      <alignment horizontal="left" vertical="center" wrapText="1"/>
    </xf>
    <xf numFmtId="0" fontId="21" fillId="13" borderId="49" xfId="46" quotePrefix="1" applyFont="1" applyFill="1" applyBorder="1" applyAlignment="1">
      <alignment horizontal="left" vertical="center" wrapText="1"/>
    </xf>
    <xf numFmtId="0" fontId="21" fillId="13" borderId="86" xfId="40" quotePrefix="1" applyFont="1" applyFill="1" applyBorder="1" applyAlignment="1">
      <alignment horizontal="left" vertical="center" wrapText="1"/>
    </xf>
    <xf numFmtId="0" fontId="21" fillId="13" borderId="7" xfId="40" quotePrefix="1" applyFont="1" applyFill="1" applyBorder="1" applyAlignment="1">
      <alignment horizontal="left" vertical="center" wrapText="1"/>
    </xf>
    <xf numFmtId="0" fontId="21" fillId="13" borderId="49" xfId="40" quotePrefix="1" applyFont="1" applyFill="1" applyBorder="1" applyAlignment="1">
      <alignment horizontal="left" vertical="center" wrapText="1"/>
    </xf>
    <xf numFmtId="0" fontId="48" fillId="0" borderId="13" xfId="44" applyNumberFormat="1" applyFont="1" applyFill="1" applyBorder="1" applyAlignment="1" applyProtection="1">
      <alignment horizontal="center" vertical="center" wrapText="1"/>
    </xf>
    <xf numFmtId="0" fontId="48" fillId="0" borderId="84" xfId="44" applyNumberFormat="1" applyFont="1" applyFill="1" applyBorder="1" applyAlignment="1" applyProtection="1">
      <alignment horizontal="center" vertical="center" wrapText="1"/>
    </xf>
    <xf numFmtId="0" fontId="47" fillId="0" borderId="48" xfId="0" applyFont="1" applyBorder="1" applyAlignment="1">
      <alignment horizontal="right" vertical="center" wrapText="1"/>
    </xf>
    <xf numFmtId="0" fontId="47" fillId="0" borderId="79" xfId="0" applyFont="1" applyBorder="1" applyAlignment="1">
      <alignment horizontal="right" vertical="center" wrapText="1"/>
    </xf>
    <xf numFmtId="2" fontId="47" fillId="0" borderId="48" xfId="0" applyNumberFormat="1" applyFont="1" applyBorder="1" applyAlignment="1">
      <alignment horizontal="center" vertical="center" wrapText="1"/>
    </xf>
    <xf numFmtId="2" fontId="47" fillId="0" borderId="4" xfId="0" applyNumberFormat="1" applyFont="1" applyBorder="1" applyAlignment="1">
      <alignment horizontal="center" vertical="center" wrapText="1"/>
    </xf>
    <xf numFmtId="2" fontId="47" fillId="0" borderId="79" xfId="0" applyNumberFormat="1" applyFont="1" applyBorder="1" applyAlignment="1">
      <alignment horizontal="center" vertical="center" wrapText="1"/>
    </xf>
    <xf numFmtId="0" fontId="47" fillId="0" borderId="4" xfId="0" applyFont="1" applyBorder="1" applyAlignment="1">
      <alignment horizontal="right" vertical="center" wrapText="1"/>
    </xf>
    <xf numFmtId="0" fontId="21" fillId="39" borderId="84" xfId="0" quotePrefix="1" applyFont="1" applyFill="1" applyBorder="1" applyAlignment="1">
      <alignment horizontal="left" vertical="center"/>
    </xf>
    <xf numFmtId="0" fontId="21" fillId="7" borderId="26" xfId="20" applyFont="1" applyFill="1" applyBorder="1" applyAlignment="1" applyProtection="1">
      <alignment horizontal="center" vertical="center" wrapText="1"/>
      <protection locked="0"/>
    </xf>
    <xf numFmtId="0" fontId="21" fillId="7" borderId="7" xfId="20" applyFont="1" applyFill="1" applyBorder="1" applyAlignment="1" applyProtection="1">
      <alignment horizontal="center" vertical="center" wrapText="1"/>
      <protection locked="0"/>
    </xf>
    <xf numFmtId="0" fontId="21" fillId="7" borderId="49" xfId="20" applyFont="1" applyFill="1" applyBorder="1" applyAlignment="1" applyProtection="1">
      <alignment horizontal="center" vertical="center" wrapText="1"/>
      <protection locked="0"/>
    </xf>
    <xf numFmtId="0" fontId="21" fillId="7" borderId="86" xfId="20" applyFont="1" applyFill="1" applyBorder="1" applyAlignment="1" applyProtection="1">
      <alignment horizontal="center" vertical="center" wrapText="1"/>
      <protection locked="0"/>
    </xf>
    <xf numFmtId="0" fontId="53" fillId="7" borderId="86" xfId="20" applyFont="1" applyFill="1" applyBorder="1" applyAlignment="1" applyProtection="1">
      <alignment horizontal="center"/>
      <protection locked="0"/>
    </xf>
    <xf numFmtId="0" fontId="53" fillId="7" borderId="7" xfId="20" applyFont="1" applyFill="1" applyBorder="1" applyAlignment="1" applyProtection="1">
      <alignment horizontal="center"/>
      <protection locked="0"/>
    </xf>
    <xf numFmtId="166" fontId="21" fillId="7" borderId="84" xfId="20" applyNumberFormat="1" applyFont="1" applyFill="1" applyBorder="1" applyAlignment="1" applyProtection="1">
      <alignment horizontal="center" vertical="center"/>
      <protection locked="0"/>
    </xf>
    <xf numFmtId="166" fontId="21" fillId="7" borderId="85" xfId="20" applyNumberFormat="1" applyFont="1" applyFill="1" applyBorder="1" applyAlignment="1" applyProtection="1">
      <alignment horizontal="center" vertical="center"/>
      <protection locked="0"/>
    </xf>
    <xf numFmtId="0" fontId="54" fillId="0" borderId="15" xfId="11" applyFont="1" applyBorder="1" applyAlignment="1">
      <alignment horizontal="center" vertical="center" wrapText="1"/>
    </xf>
    <xf numFmtId="0" fontId="54" fillId="0" borderId="54" xfId="11" applyFont="1" applyBorder="1" applyAlignment="1">
      <alignment horizontal="center" vertical="center" wrapText="1"/>
    </xf>
    <xf numFmtId="166" fontId="23" fillId="0" borderId="87" xfId="11" applyNumberFormat="1" applyFont="1" applyBorder="1" applyAlignment="1">
      <alignment horizontal="center" vertical="center" wrapText="1"/>
    </xf>
    <xf numFmtId="166" fontId="23" fillId="0" borderId="77" xfId="11" applyNumberFormat="1" applyFont="1" applyBorder="1" applyAlignment="1">
      <alignment horizontal="center" vertical="center" wrapText="1"/>
    </xf>
    <xf numFmtId="0" fontId="30" fillId="0" borderId="14" xfId="20" applyFont="1" applyBorder="1" applyAlignment="1">
      <alignment horizontal="left" vertical="center" wrapText="1"/>
    </xf>
    <xf numFmtId="0" fontId="30" fillId="0" borderId="0" xfId="20" applyFont="1" applyAlignment="1">
      <alignment horizontal="left" vertical="center" wrapText="1"/>
    </xf>
    <xf numFmtId="0" fontId="30" fillId="0" borderId="25" xfId="20" applyFont="1" applyBorder="1" applyAlignment="1">
      <alignment horizontal="left" vertical="center" wrapText="1"/>
    </xf>
    <xf numFmtId="0" fontId="21" fillId="0" borderId="14" xfId="20" applyFont="1" applyBorder="1" applyAlignment="1">
      <alignment horizontal="left" vertical="center" wrapText="1"/>
    </xf>
    <xf numFmtId="0" fontId="21" fillId="0" borderId="0" xfId="20" applyFont="1" applyAlignment="1">
      <alignment horizontal="left" vertical="center" wrapText="1"/>
    </xf>
    <xf numFmtId="0" fontId="21" fillId="0" borderId="25" xfId="20" applyFont="1" applyBorder="1" applyAlignment="1">
      <alignment horizontal="left" vertical="center" wrapText="1"/>
    </xf>
    <xf numFmtId="0" fontId="21" fillId="4" borderId="19" xfId="20" applyFont="1" applyFill="1" applyBorder="1" applyAlignment="1">
      <alignment horizontal="left" vertical="center" wrapText="1"/>
    </xf>
    <xf numFmtId="0" fontId="21" fillId="4" borderId="4" xfId="20" applyFont="1" applyFill="1" applyBorder="1" applyAlignment="1">
      <alignment horizontal="left" vertical="center" wrapText="1"/>
    </xf>
    <xf numFmtId="0" fontId="21" fillId="4" borderId="20" xfId="20" applyFont="1" applyFill="1" applyBorder="1" applyAlignment="1">
      <alignment horizontal="left" vertical="center" wrapText="1"/>
    </xf>
    <xf numFmtId="0" fontId="21" fillId="7" borderId="13" xfId="20" applyFont="1" applyFill="1" applyBorder="1" applyAlignment="1" applyProtection="1">
      <alignment horizontal="left" vertical="top" wrapText="1"/>
      <protection locked="0"/>
    </xf>
    <xf numFmtId="0" fontId="21" fillId="7" borderId="84" xfId="20" applyFont="1" applyFill="1" applyBorder="1" applyAlignment="1" applyProtection="1">
      <alignment horizontal="left" vertical="top" wrapText="1"/>
      <protection locked="0"/>
    </xf>
    <xf numFmtId="0" fontId="21" fillId="7" borderId="85" xfId="20" applyFont="1" applyFill="1" applyBorder="1" applyAlignment="1" applyProtection="1">
      <alignment horizontal="left" vertical="top" wrapText="1"/>
      <protection locked="0"/>
    </xf>
    <xf numFmtId="0" fontId="21" fillId="0" borderId="26" xfId="20" applyFont="1" applyBorder="1" applyAlignment="1">
      <alignment horizontal="left" vertical="center" wrapText="1"/>
    </xf>
    <xf numFmtId="0" fontId="21" fillId="0" borderId="7" xfId="20" applyFont="1" applyBorder="1" applyAlignment="1">
      <alignment horizontal="left" vertical="center" wrapText="1"/>
    </xf>
    <xf numFmtId="0" fontId="21" fillId="0" borderId="27" xfId="20" applyFont="1" applyBorder="1" applyAlignment="1">
      <alignment horizontal="left" vertical="center" wrapText="1"/>
    </xf>
    <xf numFmtId="0" fontId="21" fillId="0" borderId="39" xfId="20" applyFont="1" applyBorder="1" applyAlignment="1">
      <alignment horizontal="left" vertical="center" wrapText="1"/>
    </xf>
    <xf numFmtId="0" fontId="21" fillId="0" borderId="5" xfId="20" applyFont="1" applyBorder="1" applyAlignment="1">
      <alignment horizontal="left" vertical="center" wrapText="1"/>
    </xf>
    <xf numFmtId="0" fontId="21" fillId="0" borderId="37" xfId="20" applyFont="1" applyBorder="1" applyAlignment="1">
      <alignment horizontal="left" vertical="center" wrapText="1"/>
    </xf>
    <xf numFmtId="0" fontId="21" fillId="0" borderId="19" xfId="20" applyFont="1" applyBorder="1" applyAlignment="1">
      <alignment horizontal="center" vertical="center" wrapText="1"/>
    </xf>
    <xf numFmtId="0" fontId="21" fillId="0" borderId="4" xfId="20" applyFont="1" applyBorder="1" applyAlignment="1">
      <alignment horizontal="center" vertical="center" wrapText="1"/>
    </xf>
    <xf numFmtId="0" fontId="21" fillId="0" borderId="0" xfId="20" applyFont="1" applyAlignment="1">
      <alignment horizontal="center" vertical="center" wrapText="1"/>
    </xf>
    <xf numFmtId="0" fontId="21" fillId="0" borderId="20" xfId="20" applyFont="1" applyBorder="1" applyAlignment="1">
      <alignment horizontal="center" vertical="center" wrapText="1"/>
    </xf>
    <xf numFmtId="0" fontId="21" fillId="0" borderId="29" xfId="20" applyFont="1" applyBorder="1" applyAlignment="1">
      <alignment horizontal="center" vertical="center" wrapText="1"/>
    </xf>
    <xf numFmtId="0" fontId="21" fillId="0" borderId="21" xfId="20" applyFont="1" applyBorder="1" applyAlignment="1">
      <alignment horizontal="center" vertical="center" wrapText="1"/>
    </xf>
    <xf numFmtId="0" fontId="21" fillId="0" borderId="21" xfId="20" applyFont="1" applyBorder="1" applyAlignment="1">
      <alignment horizontal="center" vertical="center"/>
    </xf>
    <xf numFmtId="0" fontId="21" fillId="0" borderId="32" xfId="20" applyFont="1" applyBorder="1" applyAlignment="1">
      <alignment horizontal="center" vertical="center"/>
    </xf>
    <xf numFmtId="0" fontId="22" fillId="3" borderId="26" xfId="29" applyFont="1" applyFill="1" applyBorder="1" applyAlignment="1">
      <alignment horizontal="center" vertical="center"/>
    </xf>
    <xf numFmtId="0" fontId="22" fillId="3" borderId="7" xfId="29" applyFont="1" applyFill="1" applyBorder="1" applyAlignment="1">
      <alignment horizontal="center" vertical="center"/>
    </xf>
    <xf numFmtId="0" fontId="22" fillId="3" borderId="27" xfId="29" applyFont="1" applyFill="1" applyBorder="1" applyAlignment="1">
      <alignment horizontal="center" vertical="center"/>
    </xf>
    <xf numFmtId="0" fontId="21" fillId="0" borderId="13" xfId="20" applyFont="1" applyBorder="1" applyAlignment="1">
      <alignment horizontal="left" vertical="center" wrapText="1"/>
    </xf>
    <xf numFmtId="0" fontId="21" fillId="0" borderId="84" xfId="20" applyFont="1" applyBorder="1" applyAlignment="1">
      <alignment horizontal="left" vertical="center" wrapText="1"/>
    </xf>
    <xf numFmtId="0" fontId="21" fillId="0" borderId="85" xfId="20" applyFont="1" applyBorder="1" applyAlignment="1">
      <alignment horizontal="left" vertical="center" wrapText="1"/>
    </xf>
    <xf numFmtId="0" fontId="61" fillId="0" borderId="14" xfId="20" applyFont="1" applyBorder="1" applyAlignment="1">
      <alignment horizontal="left" vertical="center" wrapText="1"/>
    </xf>
    <xf numFmtId="0" fontId="21" fillId="0" borderId="49" xfId="20" applyFont="1" applyBorder="1" applyAlignment="1">
      <alignment horizontal="left" vertical="center" wrapText="1"/>
    </xf>
    <xf numFmtId="0" fontId="21" fillId="7" borderId="86" xfId="633" applyFont="1" applyBorder="1" applyAlignment="1">
      <alignment horizontal="center" vertical="center"/>
      <protection locked="0"/>
    </xf>
    <xf numFmtId="0" fontId="21" fillId="7" borderId="27" xfId="633" applyFont="1" applyBorder="1" applyAlignment="1">
      <alignment horizontal="center" vertical="center"/>
      <protection locked="0"/>
    </xf>
    <xf numFmtId="0" fontId="30" fillId="0" borderId="13" xfId="20" applyFont="1" applyBorder="1" applyAlignment="1">
      <alignment horizontal="left" vertical="center" wrapText="1"/>
    </xf>
    <xf numFmtId="0" fontId="30" fillId="0" borderId="84" xfId="20" applyFont="1" applyBorder="1" applyAlignment="1">
      <alignment horizontal="left" vertical="center" wrapText="1"/>
    </xf>
    <xf numFmtId="0" fontId="30" fillId="0" borderId="8" xfId="20" applyFont="1" applyBorder="1" applyAlignment="1">
      <alignment horizontal="left" vertical="center" wrapText="1"/>
    </xf>
    <xf numFmtId="0" fontId="30" fillId="0" borderId="41" xfId="20" applyFont="1" applyBorder="1" applyAlignment="1">
      <alignment horizontal="left" vertical="center" wrapText="1"/>
    </xf>
    <xf numFmtId="0" fontId="108" fillId="0" borderId="14" xfId="20" applyFont="1" applyBorder="1" applyAlignment="1">
      <alignment horizontal="left" vertical="center" wrapText="1"/>
    </xf>
    <xf numFmtId="0" fontId="108" fillId="0" borderId="0" xfId="20" applyFont="1" applyAlignment="1">
      <alignment horizontal="left" vertical="center" wrapText="1"/>
    </xf>
    <xf numFmtId="0" fontId="108" fillId="0" borderId="25" xfId="20" applyFont="1" applyBorder="1" applyAlignment="1">
      <alignment horizontal="left" vertical="center" wrapText="1"/>
    </xf>
    <xf numFmtId="0" fontId="30" fillId="13" borderId="26" xfId="11" quotePrefix="1" applyFont="1" applyFill="1" applyBorder="1" applyAlignment="1">
      <alignment horizontal="left" vertical="center" wrapText="1"/>
    </xf>
    <xf numFmtId="0" fontId="30" fillId="13" borderId="7" xfId="11" quotePrefix="1" applyFont="1" applyFill="1" applyBorder="1" applyAlignment="1">
      <alignment horizontal="left" vertical="center" wrapText="1"/>
    </xf>
    <xf numFmtId="0" fontId="30" fillId="13" borderId="49" xfId="11" quotePrefix="1" applyFont="1" applyFill="1" applyBorder="1" applyAlignment="1">
      <alignment horizontal="left" vertical="center" wrapText="1"/>
    </xf>
    <xf numFmtId="0" fontId="48" fillId="13" borderId="52" xfId="632" applyFont="1" applyFill="1" applyAlignment="1">
      <alignment horizontal="left" vertical="center" wrapText="1"/>
    </xf>
    <xf numFmtId="0" fontId="47" fillId="13" borderId="86" xfId="632" quotePrefix="1" applyFill="1" applyBorder="1" applyAlignment="1">
      <alignment horizontal="left" vertical="center" wrapText="1"/>
    </xf>
    <xf numFmtId="0" fontId="47" fillId="0" borderId="86" xfId="11" applyFont="1" applyBorder="1" applyAlignment="1">
      <alignment horizontal="right" vertical="center"/>
    </xf>
    <xf numFmtId="0" fontId="47" fillId="0" borderId="7" xfId="11" applyFont="1" applyBorder="1" applyAlignment="1">
      <alignment horizontal="right" vertical="center"/>
    </xf>
    <xf numFmtId="0" fontId="47" fillId="0" borderId="49" xfId="11" applyFont="1" applyBorder="1" applyAlignment="1">
      <alignment horizontal="right" vertical="center"/>
    </xf>
    <xf numFmtId="0" fontId="17" fillId="0" borderId="39" xfId="11" applyBorder="1" applyAlignment="1">
      <alignment horizontal="center"/>
    </xf>
    <xf numFmtId="0" fontId="17" fillId="0" borderId="5" xfId="11" applyBorder="1" applyAlignment="1">
      <alignment horizontal="center"/>
    </xf>
    <xf numFmtId="0" fontId="17" fillId="0" borderId="37" xfId="11" applyBorder="1" applyAlignment="1">
      <alignment horizontal="center"/>
    </xf>
    <xf numFmtId="0" fontId="21" fillId="7" borderId="86" xfId="20" applyFont="1" applyFill="1" applyBorder="1" applyAlignment="1" applyProtection="1">
      <alignment horizontal="center"/>
      <protection locked="0"/>
    </xf>
    <xf numFmtId="0" fontId="21" fillId="7" borderId="7" xfId="20" applyFont="1" applyFill="1" applyBorder="1" applyAlignment="1" applyProtection="1">
      <alignment horizontal="center"/>
      <protection locked="0"/>
    </xf>
    <xf numFmtId="0" fontId="21" fillId="0" borderId="33" xfId="635" applyFont="1" applyFill="1" applyBorder="1" applyAlignment="1">
      <alignment horizontal="left" vertical="center" wrapText="1"/>
    </xf>
    <xf numFmtId="0" fontId="21" fillId="0" borderId="1" xfId="635" applyFont="1" applyFill="1" applyBorder="1" applyAlignment="1">
      <alignment horizontal="left" vertical="center" wrapText="1"/>
    </xf>
    <xf numFmtId="0" fontId="21" fillId="0" borderId="28" xfId="635" applyFont="1" applyFill="1" applyBorder="1" applyAlignment="1">
      <alignment horizontal="left" vertical="center" wrapText="1"/>
    </xf>
    <xf numFmtId="0" fontId="54" fillId="0" borderId="16" xfId="11" applyFont="1" applyBorder="1" applyAlignment="1">
      <alignment horizontal="center" vertical="center"/>
    </xf>
    <xf numFmtId="0" fontId="54" fillId="0" borderId="17" xfId="11" applyFont="1" applyBorder="1" applyAlignment="1">
      <alignment horizontal="center" vertical="center"/>
    </xf>
    <xf numFmtId="166" fontId="23" fillId="0" borderId="53" xfId="11" applyNumberFormat="1" applyFont="1" applyBorder="1" applyAlignment="1">
      <alignment horizontal="center" vertical="center"/>
    </xf>
    <xf numFmtId="166" fontId="23" fillId="0" borderId="18" xfId="11" applyNumberFormat="1" applyFont="1" applyBorder="1" applyAlignment="1">
      <alignment horizontal="center" vertical="center"/>
    </xf>
    <xf numFmtId="0" fontId="21" fillId="0" borderId="39" xfId="11" applyFont="1" applyBorder="1" applyAlignment="1">
      <alignment vertical="top" wrapText="1"/>
    </xf>
    <xf numFmtId="0" fontId="21" fillId="0" borderId="5" xfId="11" applyFont="1" applyBorder="1" applyAlignment="1">
      <alignment vertical="top" wrapText="1"/>
    </xf>
    <xf numFmtId="0" fontId="21" fillId="0" borderId="37" xfId="11" applyFont="1" applyBorder="1" applyAlignment="1">
      <alignment vertical="top" wrapText="1"/>
    </xf>
    <xf numFmtId="0" fontId="57" fillId="0" borderId="29" xfId="40" applyFont="1" applyFill="1" applyBorder="1" applyAlignment="1" applyProtection="1">
      <alignment horizontal="left" vertical="center" wrapText="1"/>
    </xf>
    <xf numFmtId="0" fontId="57" fillId="0" borderId="21" xfId="40" applyFont="1" applyFill="1" applyBorder="1" applyAlignment="1" applyProtection="1">
      <alignment horizontal="left" vertical="center" wrapText="1"/>
    </xf>
    <xf numFmtId="0" fontId="57" fillId="0" borderId="32" xfId="40" applyFont="1" applyFill="1" applyBorder="1" applyAlignment="1" applyProtection="1">
      <alignment horizontal="left" vertical="center" wrapText="1"/>
    </xf>
    <xf numFmtId="0" fontId="57" fillId="0" borderId="26" xfId="40" applyFont="1" applyBorder="1" applyAlignment="1">
      <alignment horizontal="left" vertical="center"/>
    </xf>
    <xf numFmtId="0" fontId="57" fillId="0" borderId="7" xfId="40" applyFont="1" applyBorder="1" applyAlignment="1">
      <alignment horizontal="left" vertical="center"/>
    </xf>
    <xf numFmtId="0" fontId="57" fillId="0" borderId="27" xfId="40" applyFont="1" applyBorder="1" applyAlignment="1">
      <alignment horizontal="left" vertical="center"/>
    </xf>
    <xf numFmtId="0" fontId="88" fillId="0" borderId="19" xfId="628" applyFont="1" applyBorder="1" applyAlignment="1" applyProtection="1">
      <alignment horizontal="left" vertical="center"/>
    </xf>
    <xf numFmtId="0" fontId="88" fillId="0" borderId="4" xfId="628" applyFont="1" applyBorder="1" applyAlignment="1" applyProtection="1">
      <alignment horizontal="left" vertical="center"/>
    </xf>
    <xf numFmtId="0" fontId="88" fillId="0" borderId="20" xfId="628" applyFont="1" applyBorder="1" applyAlignment="1" applyProtection="1">
      <alignment horizontal="left" vertical="center"/>
    </xf>
    <xf numFmtId="0" fontId="21" fillId="0" borderId="14" xfId="20" applyFont="1" applyBorder="1" applyAlignment="1">
      <alignment horizontal="left" vertical="top"/>
    </xf>
    <xf numFmtId="0" fontId="21" fillId="0" borderId="0" xfId="20" applyFont="1" applyAlignment="1">
      <alignment horizontal="left" vertical="top"/>
    </xf>
    <xf numFmtId="0" fontId="21" fillId="0" borderId="25" xfId="20" applyFont="1" applyBorder="1" applyAlignment="1">
      <alignment horizontal="left" vertical="top"/>
    </xf>
    <xf numFmtId="0" fontId="21" fillId="0" borderId="39" xfId="11" applyFont="1" applyBorder="1" applyAlignment="1">
      <alignment horizontal="left" vertical="center"/>
    </xf>
    <xf numFmtId="0" fontId="21" fillId="0" borderId="5" xfId="11" applyFont="1" applyBorder="1" applyAlignment="1">
      <alignment horizontal="left" vertical="center"/>
    </xf>
    <xf numFmtId="0" fontId="21" fillId="0" borderId="37" xfId="11" applyFont="1" applyBorder="1" applyAlignment="1">
      <alignment horizontal="left" vertical="center"/>
    </xf>
    <xf numFmtId="0" fontId="30" fillId="4" borderId="39" xfId="637" applyFont="1" applyFill="1" applyBorder="1" applyAlignment="1" applyProtection="1">
      <alignment horizontal="left" vertical="center" wrapText="1"/>
    </xf>
    <xf numFmtId="0" fontId="30" fillId="4" borderId="5" xfId="637" applyFont="1" applyFill="1" applyBorder="1" applyAlignment="1" applyProtection="1">
      <alignment horizontal="left" vertical="center" wrapText="1"/>
    </xf>
    <xf numFmtId="0" fontId="30" fillId="4" borderId="37" xfId="637" applyFont="1" applyFill="1" applyBorder="1" applyAlignment="1" applyProtection="1">
      <alignment horizontal="left" vertical="center" wrapText="1"/>
    </xf>
    <xf numFmtId="0" fontId="21" fillId="4" borderId="14" xfId="637" applyFont="1" applyFill="1" applyBorder="1" applyAlignment="1" applyProtection="1">
      <alignment horizontal="left" vertical="center" wrapText="1"/>
    </xf>
    <xf numFmtId="0" fontId="21" fillId="4" borderId="0" xfId="637" applyFont="1" applyFill="1" applyBorder="1" applyAlignment="1" applyProtection="1">
      <alignment horizontal="left" vertical="center" wrapText="1"/>
    </xf>
    <xf numFmtId="0" fontId="21" fillId="4" borderId="25" xfId="637" applyFont="1" applyFill="1" applyBorder="1" applyAlignment="1" applyProtection="1">
      <alignment horizontal="left" vertical="center" wrapText="1"/>
    </xf>
    <xf numFmtId="0" fontId="48" fillId="0" borderId="39" xfId="11" applyFont="1" applyBorder="1" applyAlignment="1">
      <alignment horizontal="left"/>
    </xf>
    <xf numFmtId="0" fontId="48" fillId="0" borderId="5" xfId="11" applyFont="1" applyBorder="1" applyAlignment="1">
      <alignment horizontal="left"/>
    </xf>
    <xf numFmtId="0" fontId="48" fillId="0" borderId="37" xfId="11" applyFont="1" applyBorder="1" applyAlignment="1">
      <alignment horizontal="left"/>
    </xf>
    <xf numFmtId="0" fontId="21" fillId="0" borderId="14" xfId="11" applyFont="1" applyBorder="1" applyAlignment="1">
      <alignment horizontal="left" vertical="top" wrapText="1"/>
    </xf>
    <xf numFmtId="0" fontId="21" fillId="0" borderId="0" xfId="11" applyFont="1" applyAlignment="1">
      <alignment horizontal="left" vertical="top" wrapText="1"/>
    </xf>
    <xf numFmtId="0" fontId="21" fillId="0" borderId="25" xfId="11" applyFont="1" applyBorder="1" applyAlignment="1">
      <alignment horizontal="left" vertical="top" wrapText="1"/>
    </xf>
    <xf numFmtId="0" fontId="54" fillId="0" borderId="15" xfId="48" applyFont="1" applyBorder="1" applyAlignment="1">
      <alignment horizontal="center" vertical="center" wrapText="1"/>
    </xf>
    <xf numFmtId="0" fontId="54" fillId="0" borderId="54" xfId="48" applyFont="1" applyBorder="1" applyAlignment="1">
      <alignment horizontal="center" vertical="center" wrapText="1"/>
    </xf>
    <xf numFmtId="0" fontId="47" fillId="0" borderId="84" xfId="11" applyFont="1" applyBorder="1" applyAlignment="1">
      <alignment horizontal="left" vertical="center" wrapText="1"/>
    </xf>
    <xf numFmtId="0" fontId="47" fillId="0" borderId="85" xfId="11" applyFont="1" applyBorder="1" applyAlignment="1">
      <alignment horizontal="left" vertical="center" wrapText="1"/>
    </xf>
    <xf numFmtId="0" fontId="48" fillId="0" borderId="13" xfId="11" applyFont="1" applyBorder="1" applyAlignment="1">
      <alignment horizontal="center" vertical="center" wrapText="1"/>
    </xf>
    <xf numFmtId="0" fontId="48" fillId="0" borderId="84" xfId="11" applyFont="1" applyBorder="1" applyAlignment="1">
      <alignment horizontal="center" vertical="center" wrapText="1"/>
    </xf>
    <xf numFmtId="0" fontId="48" fillId="0" borderId="84" xfId="11" applyFont="1" applyBorder="1" applyAlignment="1">
      <alignment horizontal="left" vertical="center" wrapText="1"/>
    </xf>
    <xf numFmtId="0" fontId="48" fillId="0" borderId="85" xfId="11" applyFont="1" applyBorder="1" applyAlignment="1">
      <alignment horizontal="left" vertical="center" wrapText="1"/>
    </xf>
    <xf numFmtId="0" fontId="47" fillId="7" borderId="13" xfId="11" applyFont="1" applyFill="1" applyBorder="1" applyAlignment="1" applyProtection="1">
      <alignment horizontal="center" vertical="center" wrapText="1"/>
      <protection locked="0"/>
    </xf>
    <xf numFmtId="0" fontId="47" fillId="7" borderId="84" xfId="11" applyFont="1" applyFill="1" applyBorder="1" applyAlignment="1" applyProtection="1">
      <alignment horizontal="center" vertical="center" wrapText="1"/>
      <protection locked="0"/>
    </xf>
    <xf numFmtId="0" fontId="48" fillId="0" borderId="86" xfId="11" applyFont="1" applyBorder="1" applyAlignment="1">
      <alignment horizontal="left" vertical="center" wrapText="1"/>
    </xf>
    <xf numFmtId="0" fontId="48" fillId="0" borderId="7" xfId="11" applyFont="1" applyBorder="1" applyAlignment="1">
      <alignment horizontal="left" vertical="center" wrapText="1"/>
    </xf>
    <xf numFmtId="0" fontId="48" fillId="0" borderId="27" xfId="11" applyFont="1" applyBorder="1" applyAlignment="1">
      <alignment horizontal="left" vertical="center" wrapText="1"/>
    </xf>
    <xf numFmtId="0" fontId="21" fillId="0" borderId="0" xfId="11" applyFont="1" applyBorder="1" applyAlignment="1">
      <alignment horizontal="left" vertical="top" wrapText="1"/>
    </xf>
    <xf numFmtId="0" fontId="47" fillId="4" borderId="84" xfId="11" applyFont="1" applyFill="1" applyBorder="1" applyAlignment="1">
      <alignment horizontal="left" vertical="center" wrapText="1"/>
    </xf>
    <xf numFmtId="0" fontId="47" fillId="4" borderId="85" xfId="11" applyFont="1" applyFill="1" applyBorder="1" applyAlignment="1">
      <alignment horizontal="left" vertical="center" wrapText="1"/>
    </xf>
    <xf numFmtId="0" fontId="48" fillId="0" borderId="26" xfId="11" applyFont="1" applyBorder="1" applyAlignment="1">
      <alignment horizontal="center" vertical="center" wrapText="1"/>
    </xf>
    <xf numFmtId="0" fontId="48" fillId="0" borderId="7" xfId="11" applyFont="1" applyBorder="1" applyAlignment="1">
      <alignment horizontal="center" vertical="center" wrapText="1"/>
    </xf>
    <xf numFmtId="0" fontId="48" fillId="0" borderId="49" xfId="11" applyFont="1" applyBorder="1" applyAlignment="1">
      <alignment horizontal="center" vertical="center" wrapText="1"/>
    </xf>
    <xf numFmtId="0" fontId="47" fillId="7" borderId="26" xfId="11" applyFont="1" applyFill="1" applyBorder="1" applyAlignment="1" applyProtection="1">
      <alignment horizontal="center" vertical="center" wrapText="1"/>
      <protection locked="0"/>
    </xf>
    <xf numFmtId="0" fontId="47" fillId="7" borderId="7" xfId="11" applyFont="1" applyFill="1" applyBorder="1" applyAlignment="1" applyProtection="1">
      <alignment horizontal="center" vertical="center" wrapText="1"/>
      <protection locked="0"/>
    </xf>
    <xf numFmtId="0" fontId="47" fillId="7" borderId="49" xfId="11" applyFont="1" applyFill="1" applyBorder="1" applyAlignment="1" applyProtection="1">
      <alignment horizontal="center" vertical="center" wrapText="1"/>
      <protection locked="0"/>
    </xf>
    <xf numFmtId="0" fontId="51" fillId="3" borderId="16" xfId="49" applyNumberFormat="1" applyFont="1" applyFill="1" applyBorder="1" applyAlignment="1">
      <alignment horizontal="center" vertical="center" wrapText="1"/>
    </xf>
    <xf numFmtId="0" fontId="51" fillId="3" borderId="17" xfId="49" applyNumberFormat="1" applyFont="1" applyFill="1" applyBorder="1" applyAlignment="1">
      <alignment horizontal="center" vertical="center" wrapText="1"/>
    </xf>
    <xf numFmtId="0" fontId="51" fillId="3" borderId="18" xfId="49" applyNumberFormat="1" applyFont="1" applyFill="1" applyBorder="1" applyAlignment="1">
      <alignment horizontal="center" vertical="center" wrapText="1"/>
    </xf>
    <xf numFmtId="0" fontId="21" fillId="0" borderId="33" xfId="11" applyFont="1" applyBorder="1" applyAlignment="1">
      <alignment horizontal="left" vertical="top" wrapText="1"/>
    </xf>
    <xf numFmtId="0" fontId="21" fillId="0" borderId="1" xfId="11" applyFont="1" applyBorder="1" applyAlignment="1">
      <alignment horizontal="left" vertical="top" wrapText="1"/>
    </xf>
    <xf numFmtId="0" fontId="21" fillId="0" borderId="28" xfId="11" applyFont="1" applyBorder="1" applyAlignment="1">
      <alignment horizontal="left" vertical="top" wrapText="1"/>
    </xf>
    <xf numFmtId="0" fontId="48" fillId="0" borderId="13" xfId="11" applyFont="1" applyBorder="1" applyAlignment="1">
      <alignment horizontal="left" vertical="top" wrapText="1"/>
    </xf>
    <xf numFmtId="0" fontId="48" fillId="0" borderId="84" xfId="11" applyFont="1" applyBorder="1" applyAlignment="1">
      <alignment horizontal="left" vertical="top" wrapText="1"/>
    </xf>
    <xf numFmtId="0" fontId="48" fillId="0" borderId="85" xfId="11" applyFont="1" applyBorder="1" applyAlignment="1">
      <alignment horizontal="left" vertical="top" wrapText="1"/>
    </xf>
    <xf numFmtId="0" fontId="21" fillId="0" borderId="26" xfId="11" quotePrefix="1" applyFont="1" applyBorder="1" applyAlignment="1">
      <alignment horizontal="left" vertical="center" wrapText="1"/>
    </xf>
    <xf numFmtId="0" fontId="21" fillId="0" borderId="7" xfId="11" quotePrefix="1" applyFont="1" applyBorder="1" applyAlignment="1">
      <alignment horizontal="left" vertical="center" wrapText="1"/>
    </xf>
    <xf numFmtId="0" fontId="21" fillId="0" borderId="27" xfId="11" quotePrefix="1" applyFont="1" applyBorder="1" applyAlignment="1">
      <alignment horizontal="left" vertical="center" wrapText="1"/>
    </xf>
    <xf numFmtId="0" fontId="47" fillId="7" borderId="86" xfId="11" applyFont="1" applyFill="1" applyBorder="1" applyAlignment="1" applyProtection="1">
      <alignment horizontal="center" vertical="center" wrapText="1"/>
      <protection locked="0"/>
    </xf>
    <xf numFmtId="0" fontId="47" fillId="7" borderId="27" xfId="11" applyFont="1" applyFill="1" applyBorder="1" applyAlignment="1" applyProtection="1">
      <alignment horizontal="center" vertical="center" wrapText="1"/>
      <protection locked="0"/>
    </xf>
    <xf numFmtId="0" fontId="47" fillId="0" borderId="26" xfId="11" quotePrefix="1" applyFont="1" applyBorder="1" applyAlignment="1">
      <alignment horizontal="left" vertical="center" wrapText="1"/>
    </xf>
    <xf numFmtId="0" fontId="47" fillId="0" borderId="7" xfId="11" quotePrefix="1" applyFont="1" applyBorder="1" applyAlignment="1">
      <alignment horizontal="left" vertical="center" wrapText="1"/>
    </xf>
    <xf numFmtId="0" fontId="47" fillId="0" borderId="49" xfId="11" quotePrefix="1" applyFont="1" applyBorder="1" applyAlignment="1">
      <alignment horizontal="left" vertical="center" wrapText="1"/>
    </xf>
    <xf numFmtId="0" fontId="47" fillId="0" borderId="8" xfId="11" applyFont="1" applyBorder="1" applyAlignment="1">
      <alignment horizontal="left" vertical="center" wrapText="1"/>
    </xf>
    <xf numFmtId="0" fontId="47" fillId="0" borderId="41" xfId="11" applyFont="1" applyBorder="1" applyAlignment="1">
      <alignment horizontal="left" vertical="center" wrapText="1"/>
    </xf>
    <xf numFmtId="0" fontId="47" fillId="4" borderId="14" xfId="11" applyFont="1" applyFill="1" applyBorder="1" applyAlignment="1">
      <alignment horizontal="left" vertical="center" wrapText="1"/>
    </xf>
    <xf numFmtId="0" fontId="47" fillId="4" borderId="0" xfId="11" applyFont="1" applyFill="1" applyBorder="1" applyAlignment="1">
      <alignment horizontal="left" vertical="center" wrapText="1"/>
    </xf>
    <xf numFmtId="0" fontId="47" fillId="4" borderId="25" xfId="11" applyFont="1" applyFill="1" applyBorder="1" applyAlignment="1">
      <alignment horizontal="left" vertical="center" wrapText="1"/>
    </xf>
    <xf numFmtId="0" fontId="47" fillId="7" borderId="13" xfId="11" applyFont="1" applyFill="1" applyBorder="1" applyAlignment="1" applyProtection="1">
      <alignment horizontal="left" vertical="top" wrapText="1"/>
      <protection locked="0"/>
    </xf>
    <xf numFmtId="0" fontId="47" fillId="7" borderId="84" xfId="11" applyFont="1" applyFill="1" applyBorder="1" applyAlignment="1" applyProtection="1">
      <alignment horizontal="left" vertical="top" wrapText="1"/>
      <protection locked="0"/>
    </xf>
    <xf numFmtId="0" fontId="47" fillId="7" borderId="85" xfId="11" applyFont="1" applyFill="1" applyBorder="1" applyAlignment="1" applyProtection="1">
      <alignment horizontal="left" vertical="top" wrapText="1"/>
      <protection locked="0"/>
    </xf>
    <xf numFmtId="0" fontId="48" fillId="0" borderId="7" xfId="11" quotePrefix="1" applyFont="1" applyBorder="1" applyAlignment="1">
      <alignment horizontal="left" vertical="center" wrapText="1"/>
    </xf>
    <xf numFmtId="0" fontId="48" fillId="0" borderId="27" xfId="11" quotePrefix="1" applyFont="1" applyBorder="1" applyAlignment="1">
      <alignment horizontal="left" vertical="center" wrapText="1"/>
    </xf>
    <xf numFmtId="0" fontId="21" fillId="0" borderId="26" xfId="11" applyFont="1" applyBorder="1" applyAlignment="1">
      <alignment horizontal="left" vertical="center" wrapText="1"/>
    </xf>
    <xf numFmtId="0" fontId="21" fillId="0" borderId="7" xfId="11" applyFont="1" applyBorder="1" applyAlignment="1">
      <alignment horizontal="left" vertical="center" wrapText="1"/>
    </xf>
    <xf numFmtId="0" fontId="21" fillId="0" borderId="27" xfId="11" applyFont="1" applyBorder="1" applyAlignment="1">
      <alignment horizontal="left" vertical="center" wrapText="1"/>
    </xf>
    <xf numFmtId="0" fontId="21" fillId="0" borderId="14" xfId="11" applyFont="1" applyBorder="1" applyAlignment="1">
      <alignment horizontal="left" vertical="center" wrapText="1"/>
    </xf>
    <xf numFmtId="0" fontId="116" fillId="0" borderId="0" xfId="11" applyFont="1" applyBorder="1" applyAlignment="1">
      <alignment horizontal="left" vertical="center" wrapText="1"/>
    </xf>
    <xf numFmtId="0" fontId="116" fillId="0" borderId="25" xfId="11" applyFont="1" applyBorder="1" applyAlignment="1">
      <alignment horizontal="left" vertical="center" wrapText="1"/>
    </xf>
    <xf numFmtId="0" fontId="21" fillId="0" borderId="34" xfId="11" applyFont="1" applyBorder="1" applyAlignment="1">
      <alignment horizontal="left" vertical="center" wrapText="1"/>
    </xf>
    <xf numFmtId="0" fontId="21" fillId="0" borderId="8" xfId="11" applyFont="1" applyBorder="1" applyAlignment="1">
      <alignment horizontal="left" vertical="center" wrapText="1"/>
    </xf>
    <xf numFmtId="0" fontId="21" fillId="0" borderId="41" xfId="11" applyFont="1" applyBorder="1" applyAlignment="1">
      <alignment horizontal="left" vertical="center" wrapText="1"/>
    </xf>
    <xf numFmtId="0" fontId="21" fillId="0" borderId="0" xfId="11" applyFont="1" applyBorder="1" applyAlignment="1">
      <alignment horizontal="left" vertical="center" wrapText="1"/>
    </xf>
    <xf numFmtId="0" fontId="21" fillId="0" borderId="25" xfId="11" applyFont="1" applyBorder="1" applyAlignment="1">
      <alignment horizontal="left" vertical="center" wrapText="1"/>
    </xf>
    <xf numFmtId="0" fontId="57" fillId="0" borderId="14" xfId="45" applyNumberFormat="1" applyFont="1" applyBorder="1" applyAlignment="1">
      <alignment horizontal="left" vertical="top" wrapText="1"/>
    </xf>
    <xf numFmtId="0" fontId="57" fillId="0" borderId="0" xfId="45" applyNumberFormat="1" applyFont="1" applyBorder="1" applyAlignment="1">
      <alignment horizontal="left" vertical="top" wrapText="1"/>
    </xf>
    <xf numFmtId="0" fontId="57" fillId="0" borderId="25" xfId="45" applyNumberFormat="1" applyFont="1" applyBorder="1" applyAlignment="1">
      <alignment horizontal="left" vertical="top" wrapText="1"/>
    </xf>
    <xf numFmtId="0" fontId="47" fillId="0" borderId="26" xfId="11" applyFont="1" applyBorder="1" applyAlignment="1">
      <alignment horizontal="left" vertical="center" wrapText="1"/>
    </xf>
    <xf numFmtId="0" fontId="47" fillId="0" borderId="7" xfId="11" applyFont="1" applyBorder="1" applyAlignment="1">
      <alignment horizontal="left" vertical="center" wrapText="1"/>
    </xf>
    <xf numFmtId="0" fontId="47" fillId="0" borderId="49" xfId="11" applyFont="1" applyBorder="1" applyAlignment="1">
      <alignment horizontal="left" vertical="center" wrapText="1"/>
    </xf>
    <xf numFmtId="0" fontId="48" fillId="0" borderId="13" xfId="11" applyFont="1" applyBorder="1" applyAlignment="1">
      <alignment horizontal="left" vertical="center" wrapText="1"/>
    </xf>
    <xf numFmtId="0" fontId="116" fillId="0" borderId="7" xfId="11" applyFont="1" applyBorder="1" applyAlignment="1">
      <alignment horizontal="left" vertical="center" wrapText="1"/>
    </xf>
    <xf numFmtId="0" fontId="116" fillId="0" borderId="27" xfId="11" applyFont="1" applyBorder="1" applyAlignment="1">
      <alignment horizontal="left" vertical="center" wrapText="1"/>
    </xf>
    <xf numFmtId="0" fontId="48" fillId="0" borderId="33" xfId="11" applyFont="1" applyBorder="1" applyAlignment="1">
      <alignment vertical="center" wrapText="1"/>
    </xf>
    <xf numFmtId="0" fontId="48" fillId="0" borderId="1" xfId="11" applyFont="1" applyBorder="1" applyAlignment="1">
      <alignment vertical="center" wrapText="1"/>
    </xf>
    <xf numFmtId="0" fontId="48" fillId="0" borderId="28" xfId="11" applyFont="1" applyBorder="1" applyAlignment="1">
      <alignment vertical="center" wrapText="1"/>
    </xf>
    <xf numFmtId="0" fontId="47" fillId="7" borderId="48" xfId="11" applyFont="1" applyFill="1" applyBorder="1" applyAlignment="1" applyProtection="1">
      <alignment horizontal="center" vertical="center" wrapText="1"/>
      <protection locked="0"/>
    </xf>
    <xf numFmtId="0" fontId="47" fillId="7" borderId="20" xfId="11" applyFont="1" applyFill="1" applyBorder="1" applyAlignment="1" applyProtection="1">
      <alignment horizontal="center" vertical="center" wrapText="1"/>
      <protection locked="0"/>
    </xf>
    <xf numFmtId="0" fontId="47" fillId="0" borderId="19" xfId="11" applyFont="1" applyBorder="1" applyAlignment="1">
      <alignment horizontal="left" vertical="center" wrapText="1"/>
    </xf>
    <xf numFmtId="0" fontId="47" fillId="0" borderId="4" xfId="11" applyFont="1" applyBorder="1" applyAlignment="1">
      <alignment horizontal="left" vertical="center" wrapText="1"/>
    </xf>
    <xf numFmtId="0" fontId="47" fillId="0" borderId="79" xfId="11" applyFont="1" applyBorder="1" applyAlignment="1">
      <alignment horizontal="left" vertical="center" wrapText="1"/>
    </xf>
    <xf numFmtId="0" fontId="47" fillId="7" borderId="26" xfId="11" applyFont="1" applyFill="1" applyBorder="1" applyAlignment="1" applyProtection="1">
      <alignment horizontal="left" vertical="center" wrapText="1"/>
      <protection locked="0"/>
    </xf>
    <xf numFmtId="0" fontId="47" fillId="7" borderId="7" xfId="11" applyFont="1" applyFill="1" applyBorder="1" applyAlignment="1" applyProtection="1">
      <alignment horizontal="left" vertical="center" wrapText="1"/>
      <protection locked="0"/>
    </xf>
    <xf numFmtId="0" fontId="47" fillId="7" borderId="84" xfId="11" applyFont="1" applyFill="1" applyBorder="1" applyAlignment="1" applyProtection="1">
      <alignment horizontal="left" vertical="center" wrapText="1"/>
      <protection locked="0"/>
    </xf>
    <xf numFmtId="0" fontId="47" fillId="7" borderId="85" xfId="11" applyFont="1" applyFill="1" applyBorder="1" applyAlignment="1" applyProtection="1">
      <alignment horizontal="left" vertical="center" wrapText="1"/>
      <protection locked="0"/>
    </xf>
    <xf numFmtId="0" fontId="51" fillId="3" borderId="45" xfId="49" applyNumberFormat="1" applyFont="1" applyFill="1" applyBorder="1" applyAlignment="1">
      <alignment horizontal="center" vertical="center" wrapText="1"/>
    </xf>
    <xf numFmtId="0" fontId="51" fillId="3" borderId="50" xfId="49" applyNumberFormat="1" applyFont="1" applyFill="1" applyBorder="1" applyAlignment="1">
      <alignment horizontal="center" vertical="center" wrapText="1"/>
    </xf>
    <xf numFmtId="0" fontId="51" fillId="3" borderId="40" xfId="49" applyNumberFormat="1" applyFont="1" applyFill="1" applyBorder="1" applyAlignment="1">
      <alignment horizontal="center" vertical="center" wrapText="1"/>
    </xf>
    <xf numFmtId="0" fontId="47" fillId="0" borderId="27" xfId="11" applyFont="1" applyBorder="1" applyAlignment="1">
      <alignment horizontal="left" vertical="center" wrapText="1"/>
    </xf>
    <xf numFmtId="0" fontId="48" fillId="0" borderId="86" xfId="11" applyFont="1" applyBorder="1" applyAlignment="1">
      <alignment horizontal="center" vertical="center" wrapText="1"/>
    </xf>
    <xf numFmtId="0" fontId="48" fillId="0" borderId="85" xfId="11" applyFont="1" applyBorder="1" applyAlignment="1">
      <alignment horizontal="center" vertical="center" wrapText="1"/>
    </xf>
    <xf numFmtId="0" fontId="47" fillId="0" borderId="26" xfId="11" applyFont="1" applyFill="1" applyBorder="1" applyAlignment="1">
      <alignment horizontal="left" vertical="center" wrapText="1"/>
    </xf>
    <xf numFmtId="0" fontId="47" fillId="0" borderId="7" xfId="11" applyFont="1" applyFill="1" applyBorder="1" applyAlignment="1">
      <alignment horizontal="left" vertical="center" wrapText="1"/>
    </xf>
    <xf numFmtId="0" fontId="47" fillId="0" borderId="27" xfId="11" applyFont="1" applyFill="1" applyBorder="1" applyAlignment="1">
      <alignment horizontal="left" vertical="center" wrapText="1"/>
    </xf>
    <xf numFmtId="0" fontId="21" fillId="4" borderId="13" xfId="11" applyFont="1" applyFill="1" applyBorder="1" applyAlignment="1" applyProtection="1">
      <alignment horizontal="left" vertical="top" wrapText="1"/>
    </xf>
    <xf numFmtId="0" fontId="21" fillId="4" borderId="84" xfId="11" applyFont="1" applyFill="1" applyBorder="1" applyAlignment="1" applyProtection="1">
      <alignment horizontal="left" vertical="top" wrapText="1"/>
    </xf>
    <xf numFmtId="0" fontId="21" fillId="4" borderId="85" xfId="11" applyFont="1" applyFill="1" applyBorder="1" applyAlignment="1" applyProtection="1">
      <alignment horizontal="left" vertical="top" wrapText="1"/>
    </xf>
    <xf numFmtId="0" fontId="48" fillId="0" borderId="19" xfId="11" applyFont="1" applyBorder="1" applyAlignment="1">
      <alignment horizontal="left" vertical="center" wrapText="1"/>
    </xf>
    <xf numFmtId="0" fontId="48" fillId="0" borderId="4" xfId="11" applyFont="1" applyBorder="1" applyAlignment="1">
      <alignment horizontal="left" vertical="center" wrapText="1"/>
    </xf>
    <xf numFmtId="0" fontId="48" fillId="0" borderId="20" xfId="11" applyFont="1" applyBorder="1" applyAlignment="1">
      <alignment horizontal="left" vertical="center" wrapText="1"/>
    </xf>
    <xf numFmtId="0" fontId="21" fillId="0" borderId="39" xfId="11" applyFont="1" applyBorder="1" applyAlignment="1">
      <alignment horizontal="left" vertical="top" wrapText="1"/>
    </xf>
    <xf numFmtId="0" fontId="21" fillId="0" borderId="5" xfId="11" applyFont="1" applyBorder="1" applyAlignment="1">
      <alignment horizontal="left" vertical="top" wrapText="1"/>
    </xf>
    <xf numFmtId="0" fontId="21" fillId="0" borderId="37" xfId="11" applyFont="1" applyBorder="1" applyAlignment="1">
      <alignment horizontal="left" vertical="top" wrapText="1"/>
    </xf>
    <xf numFmtId="0" fontId="47" fillId="0" borderId="13" xfId="11" applyFont="1" applyBorder="1" applyAlignment="1">
      <alignment horizontal="center" vertical="center" wrapText="1"/>
    </xf>
    <xf numFmtId="0" fontId="47" fillId="0" borderId="84" xfId="11" applyFont="1" applyBorder="1" applyAlignment="1">
      <alignment horizontal="center" vertical="center" wrapText="1"/>
    </xf>
    <xf numFmtId="0" fontId="47" fillId="0" borderId="85" xfId="11" applyFont="1" applyBorder="1" applyAlignment="1">
      <alignment horizontal="center" vertical="center" wrapText="1"/>
    </xf>
    <xf numFmtId="0" fontId="21" fillId="0" borderId="86" xfId="11" applyFont="1" applyBorder="1" applyAlignment="1">
      <alignment horizontal="center" vertical="center" wrapText="1"/>
    </xf>
    <xf numFmtId="0" fontId="21" fillId="0" borderId="7" xfId="11" applyFont="1" applyBorder="1" applyAlignment="1">
      <alignment horizontal="center" vertical="center" wrapText="1"/>
    </xf>
    <xf numFmtId="0" fontId="21" fillId="0" borderId="49" xfId="11" applyFont="1" applyBorder="1" applyAlignment="1">
      <alignment horizontal="center" vertical="center" wrapText="1"/>
    </xf>
    <xf numFmtId="0" fontId="47" fillId="0" borderId="86" xfId="11" applyFont="1" applyBorder="1" applyAlignment="1">
      <alignment horizontal="center" vertical="center" wrapText="1"/>
    </xf>
    <xf numFmtId="0" fontId="47" fillId="0" borderId="7" xfId="11" applyFont="1" applyBorder="1" applyAlignment="1">
      <alignment horizontal="center" vertical="center" wrapText="1"/>
    </xf>
    <xf numFmtId="0" fontId="47" fillId="0" borderId="49" xfId="11" applyFont="1" applyBorder="1" applyAlignment="1">
      <alignment horizontal="center" vertical="center" wrapText="1"/>
    </xf>
    <xf numFmtId="0" fontId="21" fillId="0" borderId="33" xfId="11" applyFont="1" applyBorder="1" applyAlignment="1">
      <alignment horizontal="left" vertical="center" wrapText="1"/>
    </xf>
    <xf numFmtId="0" fontId="21" fillId="0" borderId="1" xfId="11" applyFont="1" applyBorder="1" applyAlignment="1">
      <alignment horizontal="left" vertical="center" wrapText="1"/>
    </xf>
    <xf numFmtId="0" fontId="21" fillId="0" borderId="13" xfId="11" applyFont="1" applyBorder="1" applyAlignment="1">
      <alignment horizontal="left" vertical="center" wrapText="1"/>
    </xf>
    <xf numFmtId="0" fontId="21" fillId="0" borderId="84" xfId="11" applyFont="1" applyBorder="1" applyAlignment="1">
      <alignment horizontal="left" vertical="center" wrapText="1"/>
    </xf>
    <xf numFmtId="0" fontId="47" fillId="7" borderId="86" xfId="11" applyFont="1" applyFill="1" applyBorder="1" applyAlignment="1" applyProtection="1">
      <alignment horizontal="left" vertical="top" wrapText="1"/>
      <protection locked="0"/>
    </xf>
    <xf numFmtId="0" fontId="47" fillId="7" borderId="7" xfId="11" applyFont="1" applyFill="1" applyBorder="1" applyAlignment="1" applyProtection="1">
      <alignment horizontal="left" vertical="top" wrapText="1"/>
      <protection locked="0"/>
    </xf>
    <xf numFmtId="0" fontId="47" fillId="7" borderId="49" xfId="11" applyFont="1" applyFill="1" applyBorder="1" applyAlignment="1" applyProtection="1">
      <alignment horizontal="left" vertical="top" wrapText="1"/>
      <protection locked="0"/>
    </xf>
    <xf numFmtId="0" fontId="48" fillId="0" borderId="26" xfId="11" applyFont="1" applyBorder="1" applyAlignment="1">
      <alignment horizontal="left" vertical="center" wrapText="1"/>
    </xf>
    <xf numFmtId="0" fontId="21" fillId="0" borderId="26" xfId="11" applyFont="1" applyBorder="1" applyAlignment="1">
      <alignment horizontal="left" vertical="top" wrapText="1"/>
    </xf>
    <xf numFmtId="0" fontId="21" fillId="0" borderId="7" xfId="11" applyFont="1" applyBorder="1" applyAlignment="1">
      <alignment horizontal="left" vertical="top" wrapText="1"/>
    </xf>
    <xf numFmtId="0" fontId="21" fillId="0" borderId="27" xfId="11" applyFont="1" applyBorder="1" applyAlignment="1">
      <alignment horizontal="left" vertical="top" wrapText="1"/>
    </xf>
    <xf numFmtId="0" fontId="21" fillId="7" borderId="26" xfId="11" applyFont="1" applyFill="1" applyBorder="1" applyAlignment="1" applyProtection="1">
      <alignment horizontal="left" vertical="top" wrapText="1"/>
      <protection locked="0"/>
    </xf>
    <xf numFmtId="0" fontId="21" fillId="7" borderId="7" xfId="11" applyFont="1" applyFill="1" applyBorder="1" applyAlignment="1" applyProtection="1">
      <alignment horizontal="left" vertical="top" wrapText="1"/>
      <protection locked="0"/>
    </xf>
    <xf numFmtId="0" fontId="21" fillId="7" borderId="27" xfId="11" applyFont="1" applyFill="1" applyBorder="1" applyAlignment="1" applyProtection="1">
      <alignment horizontal="left" vertical="top" wrapText="1"/>
      <protection locked="0"/>
    </xf>
    <xf numFmtId="0" fontId="47" fillId="7" borderId="26" xfId="11" applyFont="1" applyFill="1" applyBorder="1" applyAlignment="1" applyProtection="1">
      <alignment horizontal="left" vertical="top" wrapText="1"/>
      <protection locked="0"/>
    </xf>
    <xf numFmtId="0" fontId="47" fillId="7" borderId="27" xfId="11" applyFont="1" applyFill="1" applyBorder="1" applyAlignment="1" applyProtection="1">
      <alignment horizontal="left" vertical="top" wrapText="1"/>
      <protection locked="0"/>
    </xf>
    <xf numFmtId="0" fontId="21" fillId="7" borderId="13" xfId="11" applyFont="1" applyFill="1" applyBorder="1" applyAlignment="1" applyProtection="1">
      <alignment horizontal="left" vertical="center" wrapText="1"/>
      <protection locked="0"/>
    </xf>
    <xf numFmtId="0" fontId="21" fillId="7" borderId="84" xfId="11" applyFont="1" applyFill="1" applyBorder="1" applyAlignment="1" applyProtection="1">
      <alignment horizontal="left" vertical="center" wrapText="1"/>
      <protection locked="0"/>
    </xf>
    <xf numFmtId="0" fontId="48" fillId="0" borderId="69" xfId="11" applyFont="1" applyBorder="1" applyAlignment="1">
      <alignment horizontal="center" vertical="center" wrapText="1"/>
    </xf>
    <xf numFmtId="0" fontId="48" fillId="0" borderId="70" xfId="11" applyFont="1" applyBorder="1" applyAlignment="1">
      <alignment horizontal="center" vertical="center" wrapText="1"/>
    </xf>
    <xf numFmtId="0" fontId="48" fillId="0" borderId="70" xfId="11" applyFont="1" applyBorder="1" applyAlignment="1">
      <alignment horizontal="right" vertical="center" wrapText="1" shrinkToFit="1"/>
    </xf>
    <xf numFmtId="0" fontId="47" fillId="0" borderId="73" xfId="11" applyFont="1" applyBorder="1" applyAlignment="1">
      <alignment horizontal="center" vertical="center" wrapText="1"/>
    </xf>
    <xf numFmtId="0" fontId="47" fillId="0" borderId="71" xfId="11" applyFont="1" applyBorder="1" applyAlignment="1">
      <alignment horizontal="center" vertical="center" wrapText="1"/>
    </xf>
    <xf numFmtId="0" fontId="48" fillId="0" borderId="72" xfId="11" applyFont="1" applyBorder="1" applyAlignment="1">
      <alignment horizontal="center" vertical="center" wrapText="1"/>
    </xf>
    <xf numFmtId="0" fontId="48" fillId="0" borderId="71" xfId="11" applyFont="1" applyBorder="1" applyAlignment="1">
      <alignment horizontal="center" vertical="center" wrapText="1"/>
    </xf>
    <xf numFmtId="0" fontId="48" fillId="0" borderId="91" xfId="11" applyFont="1" applyBorder="1" applyAlignment="1">
      <alignment horizontal="center" vertical="center" wrapText="1"/>
    </xf>
    <xf numFmtId="0" fontId="48" fillId="0" borderId="92" xfId="11" applyFont="1" applyBorder="1" applyAlignment="1">
      <alignment horizontal="center" vertical="center" wrapText="1"/>
    </xf>
    <xf numFmtId="0" fontId="48" fillId="0" borderId="93" xfId="11" applyFont="1" applyBorder="1" applyAlignment="1">
      <alignment horizontal="center" vertical="center" wrapText="1"/>
    </xf>
    <xf numFmtId="0" fontId="48" fillId="0" borderId="39" xfId="11" applyFont="1" applyBorder="1" applyAlignment="1">
      <alignment horizontal="left" vertical="top" wrapText="1"/>
    </xf>
    <xf numFmtId="0" fontId="48" fillId="0" borderId="5" xfId="11" applyFont="1" applyBorder="1" applyAlignment="1">
      <alignment horizontal="left" vertical="top" wrapText="1"/>
    </xf>
    <xf numFmtId="0" fontId="48" fillId="0" borderId="37" xfId="11" applyFont="1" applyBorder="1" applyAlignment="1">
      <alignment horizontal="left" vertical="top" wrapText="1"/>
    </xf>
    <xf numFmtId="0" fontId="47" fillId="0" borderId="69" xfId="11" applyFont="1" applyBorder="1" applyAlignment="1">
      <alignment horizontal="center" vertical="center" wrapText="1"/>
    </xf>
    <xf numFmtId="0" fontId="47" fillId="0" borderId="70" xfId="11" applyFont="1" applyBorder="1" applyAlignment="1">
      <alignment horizontal="center" vertical="center" wrapText="1"/>
    </xf>
    <xf numFmtId="0" fontId="21" fillId="0" borderId="84" xfId="11" applyFont="1" applyBorder="1" applyAlignment="1">
      <alignment horizontal="center" vertical="center" wrapText="1"/>
    </xf>
    <xf numFmtId="0" fontId="47" fillId="0" borderId="91" xfId="11" applyFont="1" applyBorder="1" applyAlignment="1">
      <alignment horizontal="center" vertical="center" wrapText="1"/>
    </xf>
    <xf numFmtId="0" fontId="47" fillId="0" borderId="92" xfId="11" applyFont="1" applyBorder="1" applyAlignment="1">
      <alignment horizontal="center" vertical="center" wrapText="1"/>
    </xf>
    <xf numFmtId="0" fontId="47" fillId="0" borderId="94" xfId="11" applyFont="1" applyBorder="1" applyAlignment="1">
      <alignment horizontal="center" vertical="center" wrapText="1"/>
    </xf>
    <xf numFmtId="0" fontId="47" fillId="0" borderId="72" xfId="11" applyFont="1" applyBorder="1" applyAlignment="1">
      <alignment horizontal="center" vertical="center" wrapText="1"/>
    </xf>
    <xf numFmtId="0" fontId="47" fillId="0" borderId="74" xfId="11" applyFont="1" applyBorder="1" applyAlignment="1">
      <alignment horizontal="center" vertical="center" wrapText="1"/>
    </xf>
    <xf numFmtId="0" fontId="47" fillId="7" borderId="69" xfId="11" applyFont="1" applyFill="1" applyBorder="1" applyAlignment="1" applyProtection="1">
      <alignment horizontal="center" vertical="center" wrapText="1"/>
      <protection locked="0"/>
    </xf>
    <xf numFmtId="0" fontId="47" fillId="7" borderId="70" xfId="11" applyFont="1" applyFill="1" applyBorder="1" applyAlignment="1" applyProtection="1">
      <alignment horizontal="center" vertical="center" wrapText="1"/>
      <protection locked="0"/>
    </xf>
    <xf numFmtId="0" fontId="47" fillId="7" borderId="73" xfId="11" applyFont="1" applyFill="1" applyBorder="1" applyAlignment="1" applyProtection="1">
      <alignment horizontal="center" vertical="center" wrapText="1"/>
      <protection locked="0"/>
    </xf>
    <xf numFmtId="0" fontId="47" fillId="7" borderId="71" xfId="11" applyFont="1" applyFill="1" applyBorder="1" applyAlignment="1" applyProtection="1">
      <alignment horizontal="center" vertical="center" wrapText="1"/>
      <protection locked="0"/>
    </xf>
    <xf numFmtId="0" fontId="47" fillId="7" borderId="95" xfId="11" applyFont="1" applyFill="1" applyBorder="1" applyAlignment="1" applyProtection="1">
      <alignment horizontal="center" vertical="center" wrapText="1"/>
      <protection locked="0"/>
    </xf>
    <xf numFmtId="0" fontId="47" fillId="7" borderId="72" xfId="11" applyFont="1" applyFill="1" applyBorder="1" applyAlignment="1" applyProtection="1">
      <alignment horizontal="center" vertical="center" wrapText="1"/>
      <protection locked="0"/>
    </xf>
    <xf numFmtId="0" fontId="47" fillId="7" borderId="74" xfId="11" applyFont="1" applyFill="1" applyBorder="1" applyAlignment="1" applyProtection="1">
      <alignment horizontal="center" vertical="center" wrapText="1"/>
      <protection locked="0"/>
    </xf>
    <xf numFmtId="0" fontId="47" fillId="0" borderId="13" xfId="11" applyFont="1" applyBorder="1" applyAlignment="1">
      <alignment horizontal="left" vertical="center" wrapText="1"/>
    </xf>
    <xf numFmtId="38" fontId="47" fillId="0" borderId="84" xfId="11" applyNumberFormat="1" applyFont="1" applyBorder="1" applyAlignment="1">
      <alignment horizontal="center" vertical="center" wrapText="1"/>
    </xf>
    <xf numFmtId="0" fontId="47" fillId="7" borderId="85" xfId="11" applyFont="1" applyFill="1" applyBorder="1" applyAlignment="1" applyProtection="1">
      <alignment horizontal="center" vertical="center" wrapText="1"/>
      <protection locked="0"/>
    </xf>
    <xf numFmtId="0" fontId="30" fillId="0" borderId="84" xfId="11" applyFont="1" applyBorder="1" applyAlignment="1">
      <alignment horizontal="left" vertical="center" wrapText="1"/>
    </xf>
    <xf numFmtId="0" fontId="47" fillId="0" borderId="19" xfId="11" applyFont="1" applyBorder="1" applyAlignment="1">
      <alignment horizontal="left" vertical="top" wrapText="1"/>
    </xf>
    <xf numFmtId="0" fontId="47" fillId="0" borderId="4" xfId="11" applyFont="1" applyBorder="1" applyAlignment="1">
      <alignment horizontal="left" vertical="top" wrapText="1"/>
    </xf>
    <xf numFmtId="0" fontId="47" fillId="0" borderId="20" xfId="11" applyFont="1" applyBorder="1" applyAlignment="1">
      <alignment horizontal="left" vertical="top" wrapText="1"/>
    </xf>
    <xf numFmtId="0" fontId="48" fillId="0" borderId="33" xfId="11" applyFont="1" applyBorder="1" applyAlignment="1">
      <alignment horizontal="left" vertical="center" wrapText="1"/>
    </xf>
    <xf numFmtId="0" fontId="48" fillId="0" borderId="1" xfId="11" applyFont="1" applyBorder="1" applyAlignment="1">
      <alignment horizontal="left" vertical="center" wrapText="1"/>
    </xf>
    <xf numFmtId="0" fontId="21" fillId="0" borderId="13" xfId="11" applyFont="1" applyBorder="1" applyAlignment="1">
      <alignment horizontal="left" vertical="top" wrapText="1"/>
    </xf>
    <xf numFmtId="0" fontId="21" fillId="0" borderId="84" xfId="11" applyFont="1" applyBorder="1" applyAlignment="1">
      <alignment horizontal="left" vertical="top" wrapText="1"/>
    </xf>
    <xf numFmtId="0" fontId="21" fillId="0" borderId="85" xfId="11" applyFont="1" applyBorder="1" applyAlignment="1">
      <alignment horizontal="left" vertical="top" wrapText="1"/>
    </xf>
    <xf numFmtId="0" fontId="21" fillId="0" borderId="13" xfId="11" applyFont="1" applyFill="1" applyBorder="1" applyAlignment="1">
      <alignment horizontal="left" vertical="center" wrapText="1"/>
    </xf>
    <xf numFmtId="0" fontId="21" fillId="0" borderId="84" xfId="11" applyFont="1" applyFill="1" applyBorder="1" applyAlignment="1">
      <alignment horizontal="left" vertical="center" wrapText="1"/>
    </xf>
    <xf numFmtId="0" fontId="30" fillId="0" borderId="84" xfId="11" applyFont="1" applyFill="1" applyBorder="1" applyAlignment="1">
      <alignment horizontal="center" vertical="center" wrapText="1"/>
    </xf>
    <xf numFmtId="0" fontId="30" fillId="0" borderId="85" xfId="11" applyFont="1" applyFill="1" applyBorder="1" applyAlignment="1">
      <alignment horizontal="center" vertical="center" wrapText="1"/>
    </xf>
    <xf numFmtId="0" fontId="48" fillId="0" borderId="42" xfId="11" applyFont="1" applyFill="1" applyBorder="1" applyAlignment="1">
      <alignment horizontal="left" vertical="center" wrapText="1"/>
    </xf>
    <xf numFmtId="0" fontId="48" fillId="0" borderId="44" xfId="11" applyFont="1" applyFill="1" applyBorder="1" applyAlignment="1">
      <alignment horizontal="left" vertical="center" wrapText="1"/>
    </xf>
    <xf numFmtId="49" fontId="47" fillId="7" borderId="44" xfId="11" quotePrefix="1" applyNumberFormat="1" applyFont="1" applyFill="1" applyBorder="1" applyAlignment="1" applyProtection="1">
      <alignment horizontal="center" vertical="center" wrapText="1"/>
      <protection locked="0"/>
    </xf>
    <xf numFmtId="49" fontId="47" fillId="7" borderId="31" xfId="11" quotePrefix="1" applyNumberFormat="1" applyFont="1" applyFill="1" applyBorder="1" applyAlignment="1" applyProtection="1">
      <alignment horizontal="center" vertical="center" wrapText="1"/>
      <protection locked="0"/>
    </xf>
    <xf numFmtId="49" fontId="47" fillId="7" borderId="21" xfId="11" quotePrefix="1" applyNumberFormat="1" applyFont="1" applyFill="1" applyBorder="1" applyAlignment="1" applyProtection="1">
      <alignment horizontal="center" vertical="center" wrapText="1"/>
      <protection locked="0"/>
    </xf>
    <xf numFmtId="49" fontId="47" fillId="7" borderId="30" xfId="11" quotePrefix="1" applyNumberFormat="1" applyFont="1" applyFill="1" applyBorder="1" applyAlignment="1" applyProtection="1">
      <alignment horizontal="center" vertical="center" wrapText="1"/>
      <protection locked="0"/>
    </xf>
    <xf numFmtId="49" fontId="47" fillId="7" borderId="32" xfId="11" quotePrefix="1" applyNumberFormat="1" applyFont="1" applyFill="1" applyBorder="1" applyAlignment="1" applyProtection="1">
      <alignment horizontal="center" vertical="center" wrapText="1"/>
      <protection locked="0"/>
    </xf>
    <xf numFmtId="0" fontId="47" fillId="7" borderId="67" xfId="11" applyFont="1" applyFill="1" applyBorder="1" applyAlignment="1" applyProtection="1">
      <alignment horizontal="left" vertical="center" wrapText="1"/>
      <protection locked="0"/>
    </xf>
    <xf numFmtId="0" fontId="47" fillId="7" borderId="68" xfId="11" applyFont="1" applyFill="1" applyBorder="1" applyAlignment="1" applyProtection="1">
      <alignment horizontal="left" vertical="center" wrapText="1"/>
      <protection locked="0"/>
    </xf>
    <xf numFmtId="0" fontId="47" fillId="7" borderId="96" xfId="11" applyFont="1" applyFill="1" applyBorder="1" applyAlignment="1" applyProtection="1">
      <alignment horizontal="left" vertical="center" wrapText="1"/>
      <protection locked="0"/>
    </xf>
    <xf numFmtId="164" fontId="47" fillId="7" borderId="86" xfId="11" applyNumberFormat="1" applyFont="1" applyFill="1" applyBorder="1" applyAlignment="1" applyProtection="1">
      <alignment horizontal="center" vertical="center" wrapText="1"/>
      <protection locked="0"/>
    </xf>
    <xf numFmtId="164" fontId="47" fillId="7" borderId="7" xfId="11" applyNumberFormat="1" applyFont="1" applyFill="1" applyBorder="1" applyAlignment="1" applyProtection="1">
      <alignment horizontal="center" vertical="center" wrapText="1"/>
      <protection locked="0"/>
    </xf>
    <xf numFmtId="164" fontId="47" fillId="7" borderId="49" xfId="11" applyNumberFormat="1" applyFont="1" applyFill="1" applyBorder="1" applyAlignment="1" applyProtection="1">
      <alignment horizontal="center" vertical="center" wrapText="1"/>
      <protection locked="0"/>
    </xf>
    <xf numFmtId="0" fontId="47" fillId="7" borderId="86" xfId="11" applyFont="1" applyFill="1" applyBorder="1" applyAlignment="1" applyProtection="1">
      <alignment horizontal="left" vertical="center" wrapText="1"/>
      <protection locked="0"/>
    </xf>
    <xf numFmtId="0" fontId="64" fillId="7" borderId="84" xfId="638" applyFont="1" applyFill="1" applyBorder="1" applyAlignment="1" applyProtection="1">
      <alignment horizontal="left" vertical="center"/>
      <protection locked="0"/>
    </xf>
    <xf numFmtId="10" fontId="47" fillId="0" borderId="84" xfId="11" applyNumberFormat="1" applyFont="1" applyBorder="1" applyAlignment="1">
      <alignment horizontal="center" vertical="center" wrapText="1"/>
    </xf>
    <xf numFmtId="10" fontId="47" fillId="0" borderId="85" xfId="11" applyNumberFormat="1" applyFont="1" applyBorder="1" applyAlignment="1">
      <alignment horizontal="center" vertical="center" wrapText="1"/>
    </xf>
    <xf numFmtId="164" fontId="47" fillId="7" borderId="2" xfId="11" applyNumberFormat="1" applyFont="1" applyFill="1" applyBorder="1" applyAlignment="1" applyProtection="1">
      <alignment horizontal="center" vertical="center" wrapText="1"/>
      <protection locked="0"/>
    </xf>
    <xf numFmtId="164" fontId="47" fillId="7" borderId="5" xfId="11" applyNumberFormat="1" applyFont="1" applyFill="1" applyBorder="1" applyAlignment="1" applyProtection="1">
      <alignment horizontal="center" vertical="center" wrapText="1"/>
      <protection locked="0"/>
    </xf>
    <xf numFmtId="164" fontId="47" fillId="7" borderId="9" xfId="11" applyNumberFormat="1" applyFont="1" applyFill="1" applyBorder="1" applyAlignment="1" applyProtection="1">
      <alignment horizontal="center" vertical="center" wrapText="1"/>
      <protection locked="0"/>
    </xf>
    <xf numFmtId="164" fontId="47" fillId="7" borderId="84" xfId="11" applyNumberFormat="1" applyFont="1" applyFill="1" applyBorder="1" applyAlignment="1" applyProtection="1">
      <alignment horizontal="center" vertical="center" wrapText="1"/>
      <protection locked="0"/>
    </xf>
    <xf numFmtId="0" fontId="87" fillId="0" borderId="13" xfId="11" applyFont="1" applyBorder="1" applyAlignment="1">
      <alignment horizontal="right" vertical="center"/>
    </xf>
    <xf numFmtId="0" fontId="87" fillId="0" borderId="84" xfId="11" applyFont="1" applyBorder="1" applyAlignment="1">
      <alignment horizontal="right" vertical="center"/>
    </xf>
    <xf numFmtId="164" fontId="48" fillId="0" borderId="84" xfId="11" applyNumberFormat="1" applyFont="1" applyBorder="1" applyAlignment="1">
      <alignment horizontal="center" vertical="center" wrapText="1"/>
    </xf>
    <xf numFmtId="0" fontId="48" fillId="0" borderId="84" xfId="11" applyFont="1" applyBorder="1" applyAlignment="1">
      <alignment horizontal="center" vertical="center"/>
    </xf>
    <xf numFmtId="0" fontId="48" fillId="0" borderId="86" xfId="11" applyFont="1" applyBorder="1" applyAlignment="1">
      <alignment horizontal="center" vertical="center"/>
    </xf>
    <xf numFmtId="0" fontId="64" fillId="0" borderId="84" xfId="638" applyFont="1" applyBorder="1" applyAlignment="1">
      <alignment horizontal="center"/>
    </xf>
    <xf numFmtId="10" fontId="48" fillId="0" borderId="84" xfId="11" applyNumberFormat="1" applyFont="1" applyBorder="1" applyAlignment="1">
      <alignment horizontal="center" vertical="center" wrapText="1"/>
    </xf>
    <xf numFmtId="10" fontId="48" fillId="0" borderId="85" xfId="11" applyNumberFormat="1" applyFont="1" applyBorder="1" applyAlignment="1">
      <alignment horizontal="center" vertical="center" wrapText="1"/>
    </xf>
    <xf numFmtId="0" fontId="48" fillId="0" borderId="3" xfId="11" applyFont="1" applyBorder="1" applyAlignment="1">
      <alignment horizontal="center" vertical="center" wrapText="1"/>
    </xf>
    <xf numFmtId="0" fontId="48" fillId="0" borderId="0" xfId="11" applyFont="1" applyBorder="1" applyAlignment="1">
      <alignment horizontal="center" vertical="center" wrapText="1"/>
    </xf>
    <xf numFmtId="0" fontId="48" fillId="0" borderId="6" xfId="11" applyFont="1" applyBorder="1" applyAlignment="1">
      <alignment horizontal="center" vertical="center" wrapText="1"/>
    </xf>
    <xf numFmtId="0" fontId="65" fillId="7" borderId="13" xfId="11" applyFont="1" applyFill="1" applyBorder="1" applyAlignment="1" applyProtection="1">
      <alignment horizontal="left" vertical="center"/>
      <protection locked="0"/>
    </xf>
    <xf numFmtId="0" fontId="65" fillId="7" borderId="84" xfId="11" applyFont="1" applyFill="1" applyBorder="1" applyAlignment="1" applyProtection="1">
      <alignment horizontal="left" vertical="center"/>
      <protection locked="0"/>
    </xf>
    <xf numFmtId="2" fontId="47" fillId="7" borderId="84" xfId="11" applyNumberFormat="1" applyFont="1" applyFill="1" applyBorder="1" applyAlignment="1" applyProtection="1">
      <alignment horizontal="center" vertical="center"/>
      <protection locked="0"/>
    </xf>
    <xf numFmtId="164" fontId="47" fillId="0" borderId="84" xfId="11" applyNumberFormat="1" applyFont="1" applyBorder="1" applyAlignment="1">
      <alignment horizontal="center" vertical="center" wrapText="1"/>
    </xf>
    <xf numFmtId="164" fontId="47" fillId="0" borderId="86" xfId="11" applyNumberFormat="1" applyFont="1" applyBorder="1" applyAlignment="1">
      <alignment horizontal="center" vertical="center" wrapText="1"/>
    </xf>
    <xf numFmtId="0" fontId="64" fillId="0" borderId="85" xfId="638" applyFont="1" applyBorder="1" applyAlignment="1">
      <alignment horizontal="center"/>
    </xf>
    <xf numFmtId="0" fontId="65" fillId="0" borderId="13" xfId="11" applyFont="1" applyBorder="1" applyAlignment="1">
      <alignment vertical="center"/>
    </xf>
    <xf numFmtId="0" fontId="65" fillId="0" borderId="84" xfId="11" applyFont="1" applyBorder="1" applyAlignment="1">
      <alignment vertical="center"/>
    </xf>
    <xf numFmtId="164" fontId="48" fillId="0" borderId="2" xfId="11" applyNumberFormat="1" applyFont="1" applyBorder="1" applyAlignment="1">
      <alignment horizontal="center" vertical="center" wrapText="1"/>
    </xf>
    <xf numFmtId="164" fontId="48" fillId="0" borderId="5" xfId="11" applyNumberFormat="1" applyFont="1" applyBorder="1" applyAlignment="1">
      <alignment horizontal="center" vertical="center" wrapText="1"/>
    </xf>
    <xf numFmtId="164" fontId="48" fillId="0" borderId="9" xfId="11" applyNumberFormat="1" applyFont="1" applyBorder="1" applyAlignment="1">
      <alignment horizontal="center" vertical="center" wrapText="1"/>
    </xf>
    <xf numFmtId="0" fontId="47" fillId="0" borderId="3" xfId="11" applyFont="1" applyBorder="1" applyAlignment="1">
      <alignment horizontal="center" vertical="center" wrapText="1"/>
    </xf>
    <xf numFmtId="0" fontId="47" fillId="0" borderId="0" xfId="11" applyFont="1" applyBorder="1" applyAlignment="1">
      <alignment horizontal="center" vertical="center" wrapText="1"/>
    </xf>
    <xf numFmtId="0" fontId="95" fillId="0" borderId="13" xfId="11" applyFont="1" applyBorder="1" applyAlignment="1">
      <alignment horizontal="left" vertical="center"/>
    </xf>
    <xf numFmtId="0" fontId="95" fillId="0" borderId="84" xfId="11" applyFont="1" applyBorder="1" applyAlignment="1">
      <alignment horizontal="left" vertical="center"/>
    </xf>
    <xf numFmtId="0" fontId="95" fillId="0" borderId="26" xfId="11" applyFont="1" applyBorder="1" applyAlignment="1">
      <alignment horizontal="left" vertical="center"/>
    </xf>
    <xf numFmtId="0" fontId="95" fillId="0" borderId="7" xfId="11" applyFont="1" applyBorder="1" applyAlignment="1">
      <alignment horizontal="left" vertical="center"/>
    </xf>
    <xf numFmtId="0" fontId="95" fillId="0" borderId="49" xfId="11" applyFont="1" applyBorder="1" applyAlignment="1">
      <alignment horizontal="left" vertical="center"/>
    </xf>
    <xf numFmtId="0" fontId="65" fillId="0" borderId="13" xfId="11" applyFont="1" applyBorder="1" applyAlignment="1">
      <alignment horizontal="left" vertical="center"/>
    </xf>
    <xf numFmtId="0" fontId="65" fillId="0" borderId="84" xfId="11" applyFont="1" applyBorder="1" applyAlignment="1">
      <alignment horizontal="left" vertical="center"/>
    </xf>
    <xf numFmtId="0" fontId="65" fillId="0" borderId="13" xfId="11" applyFont="1" applyBorder="1" applyAlignment="1">
      <alignment horizontal="left" vertical="center" wrapText="1"/>
    </xf>
    <xf numFmtId="0" fontId="65" fillId="0" borderId="84" xfId="11" applyFont="1" applyBorder="1" applyAlignment="1">
      <alignment horizontal="left" vertical="center" wrapText="1"/>
    </xf>
    <xf numFmtId="0" fontId="65" fillId="7" borderId="26" xfId="11" applyFont="1" applyFill="1" applyBorder="1" applyAlignment="1" applyProtection="1">
      <alignment horizontal="left" vertical="center"/>
      <protection locked="0"/>
    </xf>
    <xf numFmtId="0" fontId="65" fillId="7" borderId="7" xfId="11" applyFont="1" applyFill="1" applyBorder="1" applyAlignment="1" applyProtection="1">
      <alignment horizontal="left" vertical="center"/>
      <protection locked="0"/>
    </xf>
    <xf numFmtId="0" fontId="65" fillId="7" borderId="49" xfId="11" applyFont="1" applyFill="1" applyBorder="1" applyAlignment="1" applyProtection="1">
      <alignment horizontal="left" vertical="center"/>
      <protection locked="0"/>
    </xf>
    <xf numFmtId="0" fontId="87" fillId="0" borderId="42" xfId="11" applyFont="1" applyBorder="1" applyAlignment="1">
      <alignment horizontal="right" vertical="center"/>
    </xf>
    <xf numFmtId="0" fontId="87" fillId="0" borderId="44" xfId="11" applyFont="1" applyBorder="1" applyAlignment="1">
      <alignment horizontal="right" vertical="center"/>
    </xf>
    <xf numFmtId="164" fontId="48" fillId="0" borderId="31" xfId="11" applyNumberFormat="1" applyFont="1" applyBorder="1" applyAlignment="1">
      <alignment horizontal="center" vertical="center"/>
    </xf>
    <xf numFmtId="164" fontId="48" fillId="0" borderId="21" xfId="11" applyNumberFormat="1" applyFont="1" applyBorder="1" applyAlignment="1">
      <alignment horizontal="center" vertical="center"/>
    </xf>
    <xf numFmtId="164" fontId="48" fillId="0" borderId="30" xfId="11" applyNumberFormat="1" applyFont="1" applyBorder="1" applyAlignment="1">
      <alignment horizontal="center" vertical="center"/>
    </xf>
    <xf numFmtId="0" fontId="47" fillId="0" borderId="31" xfId="11" applyFont="1" applyBorder="1" applyAlignment="1">
      <alignment horizontal="center" vertical="center"/>
    </xf>
    <xf numFmtId="0" fontId="47" fillId="0" borderId="21" xfId="11" applyFont="1" applyBorder="1" applyAlignment="1">
      <alignment horizontal="center" vertical="center"/>
    </xf>
    <xf numFmtId="0" fontId="64" fillId="0" borderId="44" xfId="638" applyFont="1" applyBorder="1" applyAlignment="1">
      <alignment horizontal="center"/>
    </xf>
    <xf numFmtId="10" fontId="48" fillId="0" borderId="44" xfId="11" applyNumberFormat="1" applyFont="1" applyBorder="1" applyAlignment="1">
      <alignment horizontal="center" vertical="center"/>
    </xf>
    <xf numFmtId="10" fontId="48" fillId="0" borderId="43" xfId="11" applyNumberFormat="1" applyFont="1" applyBorder="1" applyAlignment="1">
      <alignment horizontal="center" vertical="center"/>
    </xf>
    <xf numFmtId="0" fontId="51" fillId="3" borderId="19" xfId="49" applyNumberFormat="1" applyFont="1" applyFill="1" applyBorder="1" applyAlignment="1">
      <alignment horizontal="center" vertical="center" wrapText="1"/>
    </xf>
    <xf numFmtId="0" fontId="51" fillId="3" borderId="4" xfId="49" applyNumberFormat="1" applyFont="1" applyFill="1" applyBorder="1" applyAlignment="1">
      <alignment horizontal="center" vertical="center" wrapText="1"/>
    </xf>
    <xf numFmtId="0" fontId="51" fillId="3" borderId="20" xfId="49" applyNumberFormat="1" applyFont="1" applyFill="1" applyBorder="1" applyAlignment="1">
      <alignment horizontal="center" vertical="center" wrapText="1"/>
    </xf>
    <xf numFmtId="0" fontId="30" fillId="0" borderId="26" xfId="638" applyFont="1" applyBorder="1" applyAlignment="1">
      <alignment horizontal="left" vertical="top" wrapText="1"/>
    </xf>
    <xf numFmtId="0" fontId="30" fillId="0" borderId="7" xfId="638" applyFont="1" applyBorder="1" applyAlignment="1">
      <alignment horizontal="left" vertical="top" wrapText="1"/>
    </xf>
    <xf numFmtId="0" fontId="30" fillId="0" borderId="49" xfId="638" applyFont="1" applyBorder="1" applyAlignment="1">
      <alignment horizontal="left" vertical="top" wrapText="1"/>
    </xf>
    <xf numFmtId="0" fontId="21" fillId="7" borderId="84" xfId="638" applyFont="1" applyFill="1" applyBorder="1" applyAlignment="1" applyProtection="1">
      <alignment horizontal="left" vertical="top" wrapText="1"/>
      <protection locked="0"/>
    </xf>
    <xf numFmtId="0" fontId="21" fillId="7" borderId="85" xfId="638" applyFont="1" applyFill="1" applyBorder="1" applyAlignment="1" applyProtection="1">
      <alignment horizontal="left" vertical="top" wrapText="1"/>
      <protection locked="0"/>
    </xf>
    <xf numFmtId="0" fontId="21" fillId="0" borderId="26" xfId="638" applyFont="1" applyBorder="1" applyAlignment="1">
      <alignment horizontal="left" vertical="top" wrapText="1"/>
    </xf>
    <xf numFmtId="0" fontId="21" fillId="0" borderId="7" xfId="638" applyFont="1" applyBorder="1" applyAlignment="1">
      <alignment horizontal="left" vertical="top" wrapText="1"/>
    </xf>
    <xf numFmtId="0" fontId="21" fillId="0" borderId="49" xfId="638" applyFont="1" applyBorder="1" applyAlignment="1">
      <alignment horizontal="left" vertical="top" wrapText="1"/>
    </xf>
    <xf numFmtId="0" fontId="48" fillId="0" borderId="19" xfId="11" applyFont="1" applyBorder="1" applyAlignment="1">
      <alignment horizontal="left" vertical="top" wrapText="1"/>
    </xf>
    <xf numFmtId="0" fontId="48" fillId="0" borderId="4" xfId="11" applyFont="1" applyBorder="1" applyAlignment="1">
      <alignment horizontal="left" vertical="top" wrapText="1"/>
    </xf>
    <xf numFmtId="0" fontId="48" fillId="0" borderId="20" xfId="11" applyFont="1" applyBorder="1" applyAlignment="1">
      <alignment horizontal="left" vertical="top" wrapText="1"/>
    </xf>
    <xf numFmtId="0" fontId="47" fillId="0" borderId="26" xfId="11" applyFont="1" applyBorder="1" applyAlignment="1">
      <alignment horizontal="left" vertical="top" wrapText="1"/>
    </xf>
    <xf numFmtId="0" fontId="47" fillId="0" borderId="7" xfId="11" applyFont="1" applyBorder="1" applyAlignment="1">
      <alignment horizontal="left" vertical="top" wrapText="1"/>
    </xf>
    <xf numFmtId="0" fontId="47" fillId="0" borderId="27" xfId="11" applyFont="1" applyBorder="1" applyAlignment="1">
      <alignment horizontal="left" vertical="top" wrapText="1"/>
    </xf>
    <xf numFmtId="0" fontId="21" fillId="0" borderId="19" xfId="11" applyFont="1" applyBorder="1" applyAlignment="1">
      <alignment horizontal="left" vertical="top" wrapText="1"/>
    </xf>
    <xf numFmtId="0" fontId="21" fillId="0" borderId="4" xfId="11" applyFont="1" applyBorder="1" applyAlignment="1">
      <alignment horizontal="left" vertical="top" wrapText="1"/>
    </xf>
    <xf numFmtId="0" fontId="21" fillId="0" borderId="20" xfId="11" applyFont="1" applyBorder="1" applyAlignment="1">
      <alignment horizontal="left" vertical="top" wrapText="1"/>
    </xf>
    <xf numFmtId="0" fontId="30" fillId="0" borderId="26" xfId="638" applyFont="1" applyBorder="1" applyAlignment="1">
      <alignment horizontal="center" vertical="center" wrapText="1"/>
    </xf>
    <xf numFmtId="0" fontId="30" fillId="0" borderId="7" xfId="638" applyFont="1" applyBorder="1" applyAlignment="1">
      <alignment horizontal="center" vertical="center" wrapText="1"/>
    </xf>
    <xf numFmtId="0" fontId="30" fillId="0" borderId="49" xfId="638" applyFont="1" applyBorder="1" applyAlignment="1">
      <alignment horizontal="center" vertical="center" wrapText="1"/>
    </xf>
    <xf numFmtId="0" fontId="30" fillId="0" borderId="84" xfId="638" applyFont="1" applyBorder="1" applyAlignment="1">
      <alignment horizontal="center" vertical="center" wrapText="1"/>
    </xf>
    <xf numFmtId="0" fontId="30" fillId="0" borderId="85" xfId="638" applyFont="1" applyBorder="1" applyAlignment="1">
      <alignment horizontal="center" vertical="center" wrapText="1"/>
    </xf>
    <xf numFmtId="0" fontId="30" fillId="4" borderId="13" xfId="11" applyFont="1" applyFill="1" applyBorder="1" applyAlignment="1">
      <alignment horizontal="left" vertical="center" wrapText="1"/>
    </xf>
    <xf numFmtId="0" fontId="30" fillId="4" borderId="84" xfId="11" applyFont="1" applyFill="1" applyBorder="1" applyAlignment="1">
      <alignment horizontal="left" vertical="center" wrapText="1"/>
    </xf>
    <xf numFmtId="0" fontId="30" fillId="4" borderId="85" xfId="11" applyFont="1" applyFill="1" applyBorder="1" applyAlignment="1">
      <alignment horizontal="left" vertical="center" wrapText="1"/>
    </xf>
    <xf numFmtId="0" fontId="21" fillId="7" borderId="42" xfId="11" applyFont="1" applyFill="1" applyBorder="1" applyAlignment="1" applyProtection="1">
      <alignment horizontal="left" vertical="top" wrapText="1"/>
      <protection locked="0"/>
    </xf>
    <xf numFmtId="0" fontId="21" fillId="7" borderId="44" xfId="11" applyFont="1" applyFill="1" applyBorder="1" applyAlignment="1" applyProtection="1">
      <alignment horizontal="left" vertical="top" wrapText="1"/>
      <protection locked="0"/>
    </xf>
    <xf numFmtId="0" fontId="21" fillId="7" borderId="43" xfId="11" applyFont="1" applyFill="1" applyBorder="1" applyAlignment="1" applyProtection="1">
      <alignment horizontal="left" vertical="top" wrapText="1"/>
      <protection locked="0"/>
    </xf>
    <xf numFmtId="0" fontId="21" fillId="7" borderId="26" xfId="638" applyFont="1" applyFill="1" applyBorder="1" applyAlignment="1" applyProtection="1">
      <alignment horizontal="left" vertical="top" wrapText="1"/>
      <protection locked="0"/>
    </xf>
    <xf numFmtId="0" fontId="21" fillId="7" borderId="7" xfId="638" applyFont="1" applyFill="1" applyBorder="1" applyAlignment="1" applyProtection="1">
      <alignment horizontal="left" vertical="top" wrapText="1"/>
      <protection locked="0"/>
    </xf>
    <xf numFmtId="0" fontId="21" fillId="7" borderId="49" xfId="638" applyFont="1" applyFill="1" applyBorder="1" applyAlignment="1" applyProtection="1">
      <alignment horizontal="left" vertical="top" wrapText="1"/>
      <protection locked="0"/>
    </xf>
    <xf numFmtId="0" fontId="47" fillId="0" borderId="29" xfId="11" applyFont="1" applyBorder="1" applyAlignment="1">
      <alignment horizontal="left" vertical="center" wrapText="1"/>
    </xf>
    <xf numFmtId="0" fontId="47" fillId="0" borderId="21" xfId="11" applyFont="1" applyBorder="1" applyAlignment="1">
      <alignment horizontal="left" vertical="center" wrapText="1"/>
    </xf>
    <xf numFmtId="0" fontId="47" fillId="0" borderId="30" xfId="11" applyFont="1" applyBorder="1" applyAlignment="1">
      <alignment horizontal="left" vertical="center" wrapText="1"/>
    </xf>
    <xf numFmtId="0" fontId="48" fillId="0" borderId="13" xfId="11" quotePrefix="1" applyFont="1" applyBorder="1" applyAlignment="1">
      <alignment horizontal="left" vertical="top" wrapText="1"/>
    </xf>
    <xf numFmtId="0" fontId="30" fillId="0" borderId="42" xfId="11" applyFont="1" applyBorder="1" applyAlignment="1">
      <alignment horizontal="left" vertical="center"/>
    </xf>
    <xf numFmtId="0" fontId="30" fillId="0" borderId="44" xfId="11" applyFont="1" applyBorder="1" applyAlignment="1">
      <alignment horizontal="left" vertical="center"/>
    </xf>
    <xf numFmtId="49" fontId="21" fillId="7" borderId="44" xfId="11" applyNumberFormat="1" applyFont="1" applyFill="1" applyBorder="1" applyAlignment="1" applyProtection="1">
      <alignment horizontal="left" vertical="center"/>
      <protection locked="0"/>
    </xf>
    <xf numFmtId="49" fontId="21" fillId="7" borderId="43" xfId="11" applyNumberFormat="1" applyFont="1" applyFill="1" applyBorder="1" applyAlignment="1" applyProtection="1">
      <alignment horizontal="left" vertical="center"/>
      <protection locked="0"/>
    </xf>
    <xf numFmtId="0" fontId="30" fillId="0" borderId="13" xfId="11" applyFont="1" applyBorder="1" applyAlignment="1">
      <alignment horizontal="left" vertical="center"/>
    </xf>
    <xf numFmtId="0" fontId="30" fillId="0" borderId="84" xfId="11" applyFont="1" applyBorder="1" applyAlignment="1">
      <alignment horizontal="left" vertical="center"/>
    </xf>
    <xf numFmtId="49" fontId="21" fillId="7" borderId="84" xfId="11" applyNumberFormat="1" applyFont="1" applyFill="1" applyBorder="1" applyAlignment="1" applyProtection="1">
      <alignment horizontal="left" vertical="center"/>
      <protection locked="0"/>
    </xf>
    <xf numFmtId="49" fontId="21" fillId="7" borderId="85" xfId="11" applyNumberFormat="1" applyFont="1" applyFill="1" applyBorder="1" applyAlignment="1" applyProtection="1">
      <alignment horizontal="left" vertical="center"/>
      <protection locked="0"/>
    </xf>
    <xf numFmtId="0" fontId="30" fillId="0" borderId="13" xfId="11" applyFont="1" applyBorder="1" applyAlignment="1">
      <alignment horizontal="left" vertical="center" wrapText="1"/>
    </xf>
    <xf numFmtId="49" fontId="21" fillId="7" borderId="84" xfId="11" applyNumberFormat="1" applyFont="1" applyFill="1" applyBorder="1" applyAlignment="1" applyProtection="1">
      <alignment horizontal="left" vertical="center"/>
    </xf>
    <xf numFmtId="49" fontId="21" fillId="7" borderId="85" xfId="11" applyNumberFormat="1" applyFont="1" applyFill="1" applyBorder="1" applyAlignment="1" applyProtection="1">
      <alignment horizontal="left" vertical="center"/>
    </xf>
    <xf numFmtId="0" fontId="21" fillId="0" borderId="19" xfId="11" applyFont="1" applyBorder="1" applyAlignment="1">
      <alignment horizontal="left" vertical="center" wrapText="1"/>
    </xf>
    <xf numFmtId="0" fontId="21" fillId="0" borderId="4" xfId="11" applyFont="1" applyBorder="1" applyAlignment="1">
      <alignment horizontal="left" vertical="center" wrapText="1"/>
    </xf>
    <xf numFmtId="0" fontId="21" fillId="0" borderId="79" xfId="11" applyFont="1" applyBorder="1" applyAlignment="1">
      <alignment horizontal="left" vertical="center" wrapText="1"/>
    </xf>
    <xf numFmtId="0" fontId="21" fillId="7" borderId="8" xfId="11" applyFont="1" applyFill="1" applyBorder="1" applyAlignment="1" applyProtection="1">
      <alignment horizontal="center" vertical="center"/>
      <protection locked="0"/>
    </xf>
    <xf numFmtId="166" fontId="21" fillId="7" borderId="8" xfId="11" applyNumberFormat="1" applyFont="1" applyFill="1" applyBorder="1" applyAlignment="1" applyProtection="1">
      <alignment horizontal="center" vertical="center"/>
      <protection locked="0"/>
    </xf>
    <xf numFmtId="166" fontId="21" fillId="7" borderId="41" xfId="11" applyNumberFormat="1" applyFont="1" applyFill="1" applyBorder="1" applyAlignment="1" applyProtection="1">
      <alignment horizontal="center" vertical="center"/>
      <protection locked="0"/>
    </xf>
    <xf numFmtId="0" fontId="21" fillId="0" borderId="85" xfId="11" applyFont="1" applyBorder="1" applyAlignment="1">
      <alignment horizontal="left" vertical="center" wrapText="1"/>
    </xf>
    <xf numFmtId="0" fontId="17" fillId="7" borderId="26" xfId="11" applyFill="1" applyBorder="1" applyAlignment="1" applyProtection="1">
      <alignment horizontal="left" vertical="top" wrapText="1"/>
      <protection locked="0"/>
    </xf>
    <xf numFmtId="0" fontId="17" fillId="7" borderId="7" xfId="11" applyFill="1" applyBorder="1" applyAlignment="1" applyProtection="1">
      <alignment horizontal="left" vertical="top" wrapText="1"/>
      <protection locked="0"/>
    </xf>
    <xf numFmtId="0" fontId="17" fillId="7" borderId="27" xfId="11" applyFill="1" applyBorder="1" applyAlignment="1" applyProtection="1">
      <alignment horizontal="left" vertical="top" wrapText="1"/>
      <protection locked="0"/>
    </xf>
    <xf numFmtId="0" fontId="21" fillId="0" borderId="88" xfId="11" applyFont="1" applyBorder="1" applyAlignment="1">
      <alignment horizontal="left" vertical="center" wrapText="1"/>
    </xf>
    <xf numFmtId="0" fontId="21" fillId="0" borderId="89" xfId="11" applyFont="1" applyBorder="1" applyAlignment="1">
      <alignment horizontal="left" vertical="center" wrapText="1"/>
    </xf>
    <xf numFmtId="0" fontId="47" fillId="7" borderId="89" xfId="44" applyBorder="1" applyAlignment="1">
      <alignment horizontal="center" vertical="center" wrapText="1"/>
      <protection locked="0"/>
    </xf>
    <xf numFmtId="0" fontId="47" fillId="7" borderId="90" xfId="44" applyBorder="1" applyAlignment="1">
      <alignment horizontal="center" vertical="center" wrapText="1"/>
      <protection locked="0"/>
    </xf>
    <xf numFmtId="0" fontId="61" fillId="0" borderId="19" xfId="11" applyFont="1" applyBorder="1" applyAlignment="1">
      <alignment horizontal="left" vertical="center" wrapText="1"/>
    </xf>
    <xf numFmtId="0" fontId="61" fillId="0" borderId="4" xfId="11" applyFont="1" applyBorder="1" applyAlignment="1">
      <alignment horizontal="left" vertical="center" wrapText="1"/>
    </xf>
    <xf numFmtId="0" fontId="61" fillId="0" borderId="20" xfId="11" applyFont="1" applyBorder="1" applyAlignment="1">
      <alignment horizontal="left" vertical="center" wrapText="1"/>
    </xf>
    <xf numFmtId="0" fontId="30" fillId="0" borderId="26" xfId="11" applyFont="1" applyBorder="1" applyAlignment="1">
      <alignment horizontal="left" vertical="center"/>
    </xf>
    <xf numFmtId="0" fontId="30" fillId="0" borderId="7" xfId="11" applyFont="1" applyBorder="1" applyAlignment="1">
      <alignment horizontal="left" vertical="center"/>
    </xf>
    <xf numFmtId="0" fontId="30" fillId="0" borderId="49" xfId="11" applyFont="1" applyBorder="1" applyAlignment="1">
      <alignment horizontal="left" vertical="center"/>
    </xf>
    <xf numFmtId="166" fontId="21" fillId="7" borderId="84" xfId="11" applyNumberFormat="1" applyFont="1" applyFill="1" applyBorder="1" applyAlignment="1" applyProtection="1">
      <alignment horizontal="center" vertical="center"/>
      <protection locked="0"/>
    </xf>
    <xf numFmtId="166" fontId="21" fillId="7" borderId="85" xfId="11" applyNumberFormat="1" applyFont="1" applyFill="1" applyBorder="1" applyAlignment="1" applyProtection="1">
      <alignment horizontal="center" vertical="center"/>
      <protection locked="0"/>
    </xf>
    <xf numFmtId="0" fontId="21" fillId="0" borderId="39" xfId="11" applyFont="1" applyBorder="1" applyAlignment="1">
      <alignment horizontal="left" vertical="center" wrapText="1"/>
    </xf>
    <xf numFmtId="0" fontId="21" fillId="0" borderId="5" xfId="11" applyFont="1" applyBorder="1" applyAlignment="1">
      <alignment horizontal="left" vertical="center" wrapText="1"/>
    </xf>
    <xf numFmtId="0" fontId="21" fillId="0" borderId="37" xfId="11" applyFont="1" applyBorder="1" applyAlignment="1">
      <alignment horizontal="left" vertical="center" wrapText="1"/>
    </xf>
    <xf numFmtId="0" fontId="22" fillId="8" borderId="26" xfId="11" applyFont="1" applyFill="1" applyBorder="1" applyAlignment="1">
      <alignment horizontal="center" vertical="center"/>
    </xf>
    <xf numFmtId="0" fontId="22" fillId="8" borderId="7" xfId="11" applyFont="1" applyFill="1" applyBorder="1" applyAlignment="1">
      <alignment horizontal="center" vertical="center"/>
    </xf>
    <xf numFmtId="0" fontId="22" fillId="8" borderId="27" xfId="11" applyFont="1" applyFill="1" applyBorder="1" applyAlignment="1">
      <alignment horizontal="center" vertical="center"/>
    </xf>
    <xf numFmtId="0" fontId="21" fillId="10" borderId="26" xfId="11" applyFont="1" applyFill="1" applyBorder="1" applyAlignment="1">
      <alignment horizontal="left" vertical="top" wrapText="1"/>
    </xf>
    <xf numFmtId="0" fontId="21" fillId="10" borderId="7" xfId="11" applyFont="1" applyFill="1" applyBorder="1" applyAlignment="1">
      <alignment horizontal="left" vertical="top" wrapText="1"/>
    </xf>
    <xf numFmtId="0" fontId="21" fillId="10" borderId="49" xfId="11" applyFont="1" applyFill="1" applyBorder="1" applyAlignment="1">
      <alignment horizontal="left" vertical="top" wrapText="1"/>
    </xf>
    <xf numFmtId="0" fontId="21" fillId="0" borderId="85" xfId="11" applyFont="1" applyBorder="1" applyAlignment="1">
      <alignment horizontal="center" vertical="center" wrapText="1"/>
    </xf>
    <xf numFmtId="0" fontId="21" fillId="0" borderId="26" xfId="11" applyFont="1" applyFill="1" applyBorder="1" applyAlignment="1" applyProtection="1">
      <alignment horizontal="left" vertical="top" wrapText="1"/>
      <protection locked="0"/>
    </xf>
    <xf numFmtId="0" fontId="21" fillId="0" borderId="7" xfId="11" applyFont="1" applyFill="1" applyBorder="1" applyAlignment="1" applyProtection="1">
      <alignment horizontal="left" vertical="top" wrapText="1"/>
      <protection locked="0"/>
    </xf>
    <xf numFmtId="0" fontId="21" fillId="0" borderId="27" xfId="11" applyFont="1" applyFill="1" applyBorder="1" applyAlignment="1" applyProtection="1">
      <alignment horizontal="left" vertical="top" wrapText="1"/>
      <protection locked="0"/>
    </xf>
    <xf numFmtId="0" fontId="30" fillId="0" borderId="84" xfId="11" applyFont="1" applyBorder="1" applyAlignment="1">
      <alignment horizontal="center" vertical="center" wrapText="1"/>
    </xf>
    <xf numFmtId="0" fontId="21" fillId="7" borderId="84" xfId="11" applyFont="1" applyFill="1" applyBorder="1" applyAlignment="1" applyProtection="1">
      <alignment horizontal="center" vertical="center"/>
      <protection locked="0"/>
    </xf>
    <xf numFmtId="0" fontId="21" fillId="0" borderId="33" xfId="11" applyFont="1" applyBorder="1" applyAlignment="1">
      <alignment horizontal="center"/>
    </xf>
    <xf numFmtId="0" fontId="21" fillId="0" borderId="1" xfId="11" applyFont="1" applyBorder="1" applyAlignment="1">
      <alignment horizontal="center"/>
    </xf>
    <xf numFmtId="0" fontId="21" fillId="0" borderId="1" xfId="11" applyFont="1" applyBorder="1" applyAlignment="1">
      <alignment horizontal="center" vertical="center" wrapText="1"/>
    </xf>
    <xf numFmtId="0" fontId="21" fillId="0" borderId="28" xfId="11" applyFont="1" applyBorder="1" applyAlignment="1">
      <alignment horizontal="center" vertical="center" wrapText="1"/>
    </xf>
    <xf numFmtId="0" fontId="30" fillId="0" borderId="14" xfId="11" applyFont="1" applyBorder="1" applyAlignment="1">
      <alignment horizontal="left" vertical="center"/>
    </xf>
    <xf numFmtId="0" fontId="30" fillId="0" borderId="0" xfId="11" applyFont="1" applyBorder="1" applyAlignment="1">
      <alignment horizontal="left" vertical="center"/>
    </xf>
    <xf numFmtId="0" fontId="21" fillId="7" borderId="86" xfId="11" applyFont="1" applyFill="1" applyBorder="1" applyAlignment="1" applyProtection="1">
      <alignment horizontal="left" vertical="center"/>
      <protection locked="0"/>
    </xf>
    <xf numFmtId="0" fontId="21" fillId="7" borderId="7" xfId="11" applyFont="1" applyFill="1" applyBorder="1" applyAlignment="1" applyProtection="1">
      <alignment horizontal="left" vertical="center"/>
      <protection locked="0"/>
    </xf>
    <xf numFmtId="0" fontId="21" fillId="7" borderId="49" xfId="11" applyFont="1" applyFill="1" applyBorder="1" applyAlignment="1" applyProtection="1">
      <alignment horizontal="left" vertical="center"/>
      <protection locked="0"/>
    </xf>
    <xf numFmtId="0" fontId="21" fillId="7" borderId="2" xfId="11" applyFont="1" applyFill="1" applyBorder="1" applyAlignment="1" applyProtection="1">
      <alignment horizontal="left" vertical="center"/>
      <protection locked="0"/>
    </xf>
    <xf numFmtId="0" fontId="21" fillId="7" borderId="5" xfId="11" applyFont="1" applyFill="1" applyBorder="1" applyAlignment="1" applyProtection="1">
      <alignment horizontal="left" vertical="center"/>
      <protection locked="0"/>
    </xf>
    <xf numFmtId="0" fontId="21" fillId="7" borderId="9" xfId="11" applyFont="1" applyFill="1" applyBorder="1" applyAlignment="1" applyProtection="1">
      <alignment horizontal="left" vertical="center"/>
      <protection locked="0"/>
    </xf>
    <xf numFmtId="0" fontId="54" fillId="0" borderId="16" xfId="48" applyFont="1" applyBorder="1" applyAlignment="1">
      <alignment horizontal="center"/>
    </xf>
    <xf numFmtId="0" fontId="54" fillId="0" borderId="17" xfId="48" applyFont="1" applyBorder="1" applyAlignment="1">
      <alignment horizontal="center"/>
    </xf>
    <xf numFmtId="0" fontId="54" fillId="0" borderId="51" xfId="48" applyFont="1" applyBorder="1" applyAlignment="1">
      <alignment horizontal="center"/>
    </xf>
    <xf numFmtId="166" fontId="23" fillId="0" borderId="17" xfId="8" applyNumberFormat="1" applyFont="1" applyFill="1" applyBorder="1" applyAlignment="1" applyProtection="1">
      <alignment horizontal="center" vertical="center" wrapText="1"/>
    </xf>
    <xf numFmtId="166" fontId="23" fillId="0" borderId="18" xfId="8" applyNumberFormat="1" applyFont="1" applyFill="1" applyBorder="1" applyAlignment="1" applyProtection="1">
      <alignment horizontal="center" vertical="center" wrapText="1"/>
    </xf>
    <xf numFmtId="0" fontId="21" fillId="7" borderId="48" xfId="11" applyFont="1" applyFill="1" applyBorder="1" applyAlignment="1" applyProtection="1">
      <alignment horizontal="left" vertical="center"/>
      <protection locked="0"/>
    </xf>
    <xf numFmtId="0" fontId="21" fillId="7" borderId="4" xfId="11" applyFont="1" applyFill="1" applyBorder="1" applyAlignment="1" applyProtection="1">
      <alignment horizontal="left" vertical="center"/>
      <protection locked="0"/>
    </xf>
    <xf numFmtId="0" fontId="21" fillId="7" borderId="79" xfId="11" applyFont="1" applyFill="1" applyBorder="1" applyAlignment="1" applyProtection="1">
      <alignment horizontal="left" vertical="center"/>
      <protection locked="0"/>
    </xf>
    <xf numFmtId="164" fontId="21" fillId="0" borderId="84" xfId="48" applyNumberFormat="1" applyFont="1" applyBorder="1" applyAlignment="1">
      <alignment horizontal="right" vertical="center"/>
    </xf>
    <xf numFmtId="0" fontId="51" fillId="3" borderId="84" xfId="48" applyFont="1" applyFill="1" applyBorder="1" applyAlignment="1">
      <alignment horizontal="center" wrapText="1"/>
    </xf>
    <xf numFmtId="0" fontId="48" fillId="33" borderId="35" xfId="48" applyFont="1" applyFill="1" applyBorder="1" applyAlignment="1">
      <alignment horizontal="left" vertical="center"/>
    </xf>
    <xf numFmtId="0" fontId="48" fillId="33" borderId="38" xfId="48" applyFont="1" applyFill="1" applyBorder="1" applyAlignment="1">
      <alignment horizontal="left" vertical="center"/>
    </xf>
    <xf numFmtId="0" fontId="21" fillId="13" borderId="15" xfId="46" quotePrefix="1" applyFont="1" applyFill="1" applyBorder="1" applyAlignment="1">
      <alignment horizontal="left" vertical="center" wrapText="1"/>
    </xf>
    <xf numFmtId="0" fontId="21" fillId="13" borderId="64" xfId="46" quotePrefix="1" applyFont="1" applyFill="1" applyBorder="1" applyAlignment="1">
      <alignment horizontal="left" vertical="center" wrapText="1"/>
    </xf>
    <xf numFmtId="0" fontId="21" fillId="13" borderId="65" xfId="46" quotePrefix="1" applyFont="1" applyFill="1" applyBorder="1" applyAlignment="1">
      <alignment horizontal="left" vertical="center" wrapText="1"/>
    </xf>
    <xf numFmtId="164" fontId="30" fillId="0" borderId="84" xfId="48" applyNumberFormat="1" applyFont="1" applyBorder="1" applyAlignment="1">
      <alignment horizontal="right" vertical="center"/>
    </xf>
    <xf numFmtId="164" fontId="21" fillId="0" borderId="26" xfId="48" applyNumberFormat="1" applyFont="1" applyFill="1" applyBorder="1" applyAlignment="1">
      <alignment horizontal="left" vertical="center"/>
    </xf>
    <xf numFmtId="164" fontId="21" fillId="0" borderId="7" xfId="48" applyNumberFormat="1" applyFont="1" applyFill="1" applyBorder="1" applyAlignment="1">
      <alignment horizontal="left" vertical="center"/>
    </xf>
    <xf numFmtId="164" fontId="21" fillId="0" borderId="26" xfId="48" applyNumberFormat="1" applyFont="1" applyFill="1" applyBorder="1" applyAlignment="1">
      <alignment horizontal="left" vertical="center" wrapText="1"/>
    </xf>
    <xf numFmtId="164" fontId="21" fillId="0" borderId="7" xfId="48" applyNumberFormat="1" applyFont="1" applyFill="1" applyBorder="1" applyAlignment="1">
      <alignment horizontal="left" vertical="center" wrapText="1"/>
    </xf>
    <xf numFmtId="0" fontId="30" fillId="3" borderId="16" xfId="46" quotePrefix="1" applyFont="1" applyFill="1" applyBorder="1" applyAlignment="1">
      <alignment horizontal="left" vertical="center" wrapText="1"/>
    </xf>
    <xf numFmtId="0" fontId="30" fillId="3" borderId="17" xfId="46" quotePrefix="1" applyFont="1" applyFill="1" applyBorder="1" applyAlignment="1">
      <alignment horizontal="left" vertical="center" wrapText="1"/>
    </xf>
    <xf numFmtId="0" fontId="30" fillId="3" borderId="51" xfId="46" quotePrefix="1" applyFont="1" applyFill="1" applyBorder="1" applyAlignment="1">
      <alignment horizontal="left" vertical="center" wrapText="1"/>
    </xf>
    <xf numFmtId="0" fontId="22" fillId="3" borderId="22" xfId="4" applyFont="1" applyFill="1" applyBorder="1" applyAlignment="1">
      <alignment horizontal="center" vertical="center"/>
    </xf>
    <xf numFmtId="0" fontId="22" fillId="3" borderId="23" xfId="4" applyFont="1" applyFill="1" applyBorder="1" applyAlignment="1">
      <alignment horizontal="center" vertical="center"/>
    </xf>
    <xf numFmtId="0" fontId="22" fillId="3" borderId="24" xfId="4" applyFont="1" applyFill="1" applyBorder="1" applyAlignment="1">
      <alignment horizontal="center" vertical="center"/>
    </xf>
    <xf numFmtId="0" fontId="48" fillId="0" borderId="31" xfId="48" applyFont="1" applyFill="1" applyBorder="1" applyAlignment="1">
      <alignment horizontal="center" vertical="center" wrapText="1"/>
    </xf>
    <xf numFmtId="0" fontId="48" fillId="0" borderId="32" xfId="48" applyFont="1" applyFill="1" applyBorder="1" applyAlignment="1">
      <alignment horizontal="center" vertical="center" wrapText="1"/>
    </xf>
    <xf numFmtId="0" fontId="21" fillId="0" borderId="26" xfId="4" applyFont="1" applyBorder="1" applyAlignment="1">
      <alignment horizontal="left" vertical="center" wrapText="1"/>
    </xf>
    <xf numFmtId="0" fontId="21" fillId="0" borderId="7" xfId="4" applyFont="1" applyBorder="1" applyAlignment="1">
      <alignment horizontal="left" vertical="center" wrapText="1"/>
    </xf>
    <xf numFmtId="0" fontId="21" fillId="0" borderId="49" xfId="4" applyFont="1" applyBorder="1" applyAlignment="1">
      <alignment horizontal="left" vertical="center" wrapText="1"/>
    </xf>
    <xf numFmtId="0" fontId="47" fillId="0" borderId="13" xfId="48" applyFont="1" applyBorder="1" applyAlignment="1">
      <alignment horizontal="left" vertical="center"/>
    </xf>
    <xf numFmtId="0" fontId="47" fillId="0" borderId="84" xfId="48" applyFont="1" applyBorder="1" applyAlignment="1">
      <alignment horizontal="left" vertical="center"/>
    </xf>
    <xf numFmtId="0" fontId="54" fillId="0" borderId="11" xfId="53" applyFont="1" applyBorder="1" applyAlignment="1">
      <alignment horizontal="center" vertical="center" wrapText="1"/>
    </xf>
    <xf numFmtId="0" fontId="95" fillId="0" borderId="86" xfId="4" applyFont="1" applyBorder="1" applyAlignment="1">
      <alignment horizontal="left" vertical="top" wrapText="1"/>
    </xf>
    <xf numFmtId="0" fontId="95" fillId="0" borderId="7" xfId="4" applyFont="1" applyBorder="1" applyAlignment="1">
      <alignment horizontal="left" vertical="top" wrapText="1"/>
    </xf>
    <xf numFmtId="0" fontId="95" fillId="0" borderId="49" xfId="4" applyFont="1" applyBorder="1" applyAlignment="1">
      <alignment horizontal="left" vertical="top" wrapText="1"/>
    </xf>
    <xf numFmtId="0" fontId="22" fillId="0" borderId="15" xfId="53" applyFont="1" applyFill="1" applyBorder="1" applyAlignment="1">
      <alignment horizontal="center" vertical="center" wrapText="1"/>
    </xf>
    <xf numFmtId="0" fontId="22" fillId="0" borderId="54" xfId="53" applyFont="1" applyFill="1" applyBorder="1" applyAlignment="1">
      <alignment horizontal="center" vertical="center" wrapText="1"/>
    </xf>
    <xf numFmtId="0" fontId="22" fillId="0" borderId="77" xfId="53" applyFont="1" applyFill="1" applyBorder="1" applyAlignment="1">
      <alignment horizontal="center" vertical="center" wrapText="1"/>
    </xf>
    <xf numFmtId="164" fontId="21" fillId="0" borderId="33" xfId="48" applyNumberFormat="1" applyFont="1" applyFill="1" applyBorder="1" applyAlignment="1">
      <alignment horizontal="left" vertical="center"/>
    </xf>
    <xf numFmtId="164" fontId="21" fillId="0" borderId="1" xfId="48" applyNumberFormat="1" applyFont="1" applyFill="1" applyBorder="1" applyAlignment="1">
      <alignment horizontal="left" vertical="center"/>
    </xf>
    <xf numFmtId="164" fontId="30" fillId="33" borderId="13" xfId="48" applyNumberFormat="1" applyFont="1" applyFill="1" applyBorder="1" applyAlignment="1">
      <alignment horizontal="left" vertical="center"/>
    </xf>
    <xf numFmtId="164" fontId="30" fillId="33" borderId="84" xfId="48" applyNumberFormat="1" applyFont="1" applyFill="1" applyBorder="1" applyAlignment="1">
      <alignment horizontal="left" vertical="center"/>
    </xf>
    <xf numFmtId="0" fontId="17" fillId="0" borderId="14" xfId="4" applyFont="1" applyBorder="1" applyAlignment="1">
      <alignment horizontal="center"/>
    </xf>
    <xf numFmtId="0" fontId="17" fillId="0" borderId="0" xfId="4" applyFont="1" applyBorder="1" applyAlignment="1">
      <alignment horizontal="center"/>
    </xf>
    <xf numFmtId="164" fontId="21" fillId="0" borderId="49" xfId="48" applyNumberFormat="1" applyFont="1" applyFill="1" applyBorder="1" applyAlignment="1">
      <alignment horizontal="left" vertical="center"/>
    </xf>
    <xf numFmtId="0" fontId="89" fillId="0" borderId="86" xfId="48" applyNumberFormat="1" applyFont="1" applyFill="1" applyBorder="1" applyAlignment="1">
      <alignment horizontal="left" vertical="center"/>
    </xf>
    <xf numFmtId="0" fontId="89" fillId="0" borderId="7" xfId="48" applyNumberFormat="1" applyFont="1" applyFill="1" applyBorder="1" applyAlignment="1">
      <alignment horizontal="left" vertical="center"/>
    </xf>
    <xf numFmtId="0" fontId="89" fillId="0" borderId="49" xfId="48" applyNumberFormat="1" applyFont="1" applyFill="1" applyBorder="1" applyAlignment="1">
      <alignment horizontal="left" vertical="center"/>
    </xf>
    <xf numFmtId="0" fontId="21" fillId="0" borderId="36" xfId="4" applyFont="1" applyFill="1" applyBorder="1" applyAlignment="1">
      <alignment horizontal="right" vertical="center"/>
    </xf>
    <xf numFmtId="0" fontId="21" fillId="0" borderId="11" xfId="4" applyFont="1" applyFill="1" applyBorder="1" applyAlignment="1">
      <alignment horizontal="right" vertical="center"/>
    </xf>
    <xf numFmtId="0" fontId="118" fillId="0" borderId="10" xfId="48" applyFont="1" applyBorder="1" applyAlignment="1">
      <alignment horizontal="right" vertical="center"/>
    </xf>
    <xf numFmtId="0" fontId="118" fillId="0" borderId="11" xfId="48" applyFont="1" applyBorder="1" applyAlignment="1">
      <alignment horizontal="right" vertical="center"/>
    </xf>
    <xf numFmtId="164" fontId="23" fillId="0" borderId="11" xfId="48" applyNumberFormat="1" applyFont="1" applyFill="1" applyBorder="1" applyAlignment="1">
      <alignment horizontal="right" vertical="center" wrapText="1"/>
    </xf>
    <xf numFmtId="0" fontId="21" fillId="0" borderId="84" xfId="4" applyFont="1" applyBorder="1" applyAlignment="1">
      <alignment horizontal="right" vertical="center" wrapText="1"/>
    </xf>
    <xf numFmtId="2" fontId="30" fillId="0" borderId="14" xfId="0" applyNumberFormat="1" applyFont="1" applyBorder="1" applyAlignment="1">
      <alignment horizontal="center" vertical="center" wrapText="1"/>
    </xf>
    <xf numFmtId="2" fontId="30" fillId="0" borderId="0" xfId="0" applyNumberFormat="1" applyFont="1" applyBorder="1" applyAlignment="1">
      <alignment horizontal="center" vertical="center" wrapText="1"/>
    </xf>
    <xf numFmtId="0" fontId="30" fillId="0" borderId="19" xfId="53" applyFont="1" applyFill="1" applyBorder="1" applyAlignment="1">
      <alignment horizontal="center" vertical="center" wrapText="1"/>
    </xf>
    <xf numFmtId="0" fontId="30" fillId="0" borderId="4" xfId="53" applyFont="1" applyFill="1" applyBorder="1" applyAlignment="1">
      <alignment horizontal="center" vertical="center" wrapText="1"/>
    </xf>
    <xf numFmtId="0" fontId="30" fillId="0" borderId="20" xfId="53" applyFont="1" applyFill="1" applyBorder="1" applyAlignment="1">
      <alignment horizontal="center" vertical="center" wrapText="1"/>
    </xf>
    <xf numFmtId="0" fontId="21" fillId="0" borderId="13" xfId="4" applyFont="1" applyBorder="1" applyAlignment="1">
      <alignment horizontal="left" vertical="top" wrapText="1"/>
    </xf>
    <xf numFmtId="0" fontId="21" fillId="0" borderId="84" xfId="4" applyFont="1" applyBorder="1" applyAlignment="1">
      <alignment horizontal="left" vertical="top" wrapText="1"/>
    </xf>
    <xf numFmtId="0" fontId="96" fillId="0" borderId="0" xfId="48" applyFont="1" applyBorder="1" applyAlignment="1">
      <alignment horizontal="center" wrapText="1"/>
    </xf>
    <xf numFmtId="0" fontId="38" fillId="7" borderId="16" xfId="48" applyFont="1" applyFill="1" applyBorder="1" applyAlignment="1" applyProtection="1">
      <alignment horizontal="center" wrapText="1"/>
      <protection locked="0"/>
    </xf>
    <xf numFmtId="0" fontId="38" fillId="7" borderId="18" xfId="48" applyFont="1" applyFill="1" applyBorder="1" applyAlignment="1" applyProtection="1">
      <alignment horizontal="center" wrapText="1"/>
      <protection locked="0"/>
    </xf>
    <xf numFmtId="0" fontId="38" fillId="7" borderId="17" xfId="48" applyFont="1" applyFill="1" applyBorder="1" applyAlignment="1" applyProtection="1">
      <alignment horizontal="center" wrapText="1"/>
      <protection locked="0"/>
    </xf>
    <xf numFmtId="0" fontId="30" fillId="3" borderId="16" xfId="53" applyFont="1" applyFill="1" applyBorder="1" applyAlignment="1">
      <alignment horizontal="center" vertical="center" wrapText="1"/>
    </xf>
    <xf numFmtId="0" fontId="30" fillId="3" borderId="17" xfId="53" applyFont="1" applyFill="1" applyBorder="1" applyAlignment="1">
      <alignment horizontal="center" vertical="center" wrapText="1"/>
    </xf>
    <xf numFmtId="0" fontId="30" fillId="3" borderId="18" xfId="53" applyFont="1" applyFill="1" applyBorder="1" applyAlignment="1">
      <alignment horizontal="center" vertical="center" wrapText="1"/>
    </xf>
    <xf numFmtId="0" fontId="17" fillId="0" borderId="21" xfId="4" applyFont="1" applyBorder="1" applyAlignment="1">
      <alignment horizontal="center"/>
    </xf>
    <xf numFmtId="164" fontId="31" fillId="0" borderId="16" xfId="4" applyNumberFormat="1" applyFont="1" applyFill="1" applyBorder="1" applyAlignment="1">
      <alignment horizontal="right" vertical="center" wrapText="1"/>
    </xf>
    <xf numFmtId="164" fontId="31" fillId="0" borderId="17" xfId="4" applyNumberFormat="1" applyFont="1" applyFill="1" applyBorder="1" applyAlignment="1">
      <alignment horizontal="right" vertical="center" wrapText="1"/>
    </xf>
    <xf numFmtId="164" fontId="31" fillId="0" borderId="18" xfId="4" applyNumberFormat="1" applyFont="1" applyFill="1" applyBorder="1" applyAlignment="1">
      <alignment horizontal="right" vertical="center" wrapText="1"/>
    </xf>
    <xf numFmtId="0" fontId="30" fillId="0" borderId="16" xfId="4" applyFont="1" applyBorder="1" applyAlignment="1">
      <alignment horizontal="center"/>
    </xf>
    <xf numFmtId="0" fontId="30" fillId="0" borderId="17" xfId="4" applyFont="1" applyBorder="1" applyAlignment="1">
      <alignment horizontal="center"/>
    </xf>
    <xf numFmtId="0" fontId="30" fillId="0" borderId="18" xfId="4" applyFont="1" applyBorder="1" applyAlignment="1">
      <alignment horizontal="center"/>
    </xf>
    <xf numFmtId="0" fontId="17" fillId="0" borderId="29" xfId="4" applyFont="1" applyBorder="1" applyAlignment="1">
      <alignment horizontal="center"/>
    </xf>
    <xf numFmtId="0" fontId="21" fillId="0" borderId="10" xfId="4" applyFont="1" applyFill="1" applyBorder="1" applyAlignment="1">
      <alignment horizontal="left" vertical="center"/>
    </xf>
    <xf numFmtId="0" fontId="21" fillId="0" borderId="11" xfId="4" applyFont="1" applyFill="1" applyBorder="1" applyAlignment="1">
      <alignment horizontal="left" vertical="center"/>
    </xf>
    <xf numFmtId="0" fontId="21" fillId="0" borderId="56" xfId="4" applyFont="1" applyFill="1" applyBorder="1" applyAlignment="1">
      <alignment horizontal="left" vertical="center"/>
    </xf>
    <xf numFmtId="38" fontId="21" fillId="0" borderId="36" xfId="4" applyNumberFormat="1" applyFont="1" applyFill="1" applyBorder="1" applyAlignment="1">
      <alignment horizontal="center" vertical="center"/>
    </xf>
    <xf numFmtId="38" fontId="21" fillId="0" borderId="56" xfId="4" applyNumberFormat="1" applyFont="1" applyFill="1" applyBorder="1" applyAlignment="1">
      <alignment horizontal="center" vertical="center"/>
    </xf>
    <xf numFmtId="0" fontId="30" fillId="3" borderId="45" xfId="4" applyFont="1" applyFill="1" applyBorder="1" applyAlignment="1">
      <alignment horizontal="left" vertical="center"/>
    </xf>
    <xf numFmtId="0" fontId="30" fillId="3" borderId="50" xfId="4" applyFont="1" applyFill="1" applyBorder="1" applyAlignment="1">
      <alignment horizontal="left" vertical="center"/>
    </xf>
    <xf numFmtId="0" fontId="30" fillId="33" borderId="10" xfId="4" applyFont="1" applyFill="1" applyBorder="1" applyAlignment="1">
      <alignment horizontal="left" vertical="center" wrapText="1"/>
    </xf>
    <xf numFmtId="0" fontId="30" fillId="33" borderId="11" xfId="4" applyFont="1" applyFill="1" applyBorder="1" applyAlignment="1">
      <alignment horizontal="left" vertical="center" wrapText="1"/>
    </xf>
    <xf numFmtId="0" fontId="30" fillId="33" borderId="56" xfId="4" applyFont="1" applyFill="1" applyBorder="1" applyAlignment="1">
      <alignment horizontal="left" vertical="center" wrapText="1"/>
    </xf>
    <xf numFmtId="0" fontId="21" fillId="13" borderId="39" xfId="46" quotePrefix="1" applyFont="1" applyFill="1" applyBorder="1" applyAlignment="1">
      <alignment horizontal="left" vertical="center" wrapText="1"/>
    </xf>
    <xf numFmtId="0" fontId="21" fillId="13" borderId="9" xfId="46" quotePrefix="1" applyFont="1" applyFill="1" applyBorder="1" applyAlignment="1">
      <alignment horizontal="left" vertical="center" wrapText="1"/>
    </xf>
    <xf numFmtId="0" fontId="21" fillId="13" borderId="8" xfId="46" quotePrefix="1" applyFont="1" applyFill="1" applyBorder="1" applyAlignment="1">
      <alignment horizontal="left" vertical="center" wrapText="1"/>
    </xf>
    <xf numFmtId="0" fontId="21" fillId="39" borderId="5" xfId="0" quotePrefix="1" applyFont="1" applyFill="1" applyBorder="1" applyAlignment="1">
      <alignment horizontal="left" vertical="top" wrapText="1"/>
    </xf>
    <xf numFmtId="0" fontId="21" fillId="13" borderId="2" xfId="46" quotePrefix="1" applyFont="1" applyFill="1" applyBorder="1" applyAlignment="1">
      <alignment horizontal="right" vertical="center" wrapText="1"/>
    </xf>
    <xf numFmtId="0" fontId="21" fillId="13" borderId="9" xfId="46" quotePrefix="1" applyFont="1" applyFill="1" applyBorder="1" applyAlignment="1">
      <alignment horizontal="right" vertical="center" wrapText="1"/>
    </xf>
    <xf numFmtId="6" fontId="21" fillId="0" borderId="84" xfId="4" applyNumberFormat="1" applyFont="1" applyBorder="1" applyAlignment="1">
      <alignment horizontal="center" vertical="center" wrapText="1"/>
    </xf>
    <xf numFmtId="0" fontId="117" fillId="0" borderId="13" xfId="4" applyFont="1" applyBorder="1" applyAlignment="1">
      <alignment horizontal="left" vertical="center" wrapText="1"/>
    </xf>
    <xf numFmtId="0" fontId="117" fillId="0" borderId="84" xfId="4" applyFont="1" applyBorder="1" applyAlignment="1">
      <alignment horizontal="left" vertical="center" wrapText="1"/>
    </xf>
    <xf numFmtId="0" fontId="21" fillId="0" borderId="19" xfId="4" quotePrefix="1" applyFont="1" applyBorder="1" applyAlignment="1">
      <alignment horizontal="left" vertical="center" wrapText="1"/>
    </xf>
    <xf numFmtId="0" fontId="21" fillId="0" borderId="4" xfId="4" quotePrefix="1" applyFont="1" applyBorder="1" applyAlignment="1">
      <alignment horizontal="left" vertical="center" wrapText="1"/>
    </xf>
    <xf numFmtId="0" fontId="21" fillId="0" borderId="79" xfId="4" quotePrefix="1" applyFont="1" applyBorder="1" applyAlignment="1">
      <alignment horizontal="left" vertical="center" wrapText="1"/>
    </xf>
    <xf numFmtId="0" fontId="21" fillId="13" borderId="48" xfId="46" quotePrefix="1" applyFont="1" applyFill="1" applyBorder="1" applyAlignment="1">
      <alignment horizontal="right" vertical="center" wrapText="1"/>
    </xf>
    <xf numFmtId="0" fontId="21" fillId="13" borderId="79" xfId="46" quotePrefix="1" applyFont="1" applyFill="1" applyBorder="1" applyAlignment="1">
      <alignment horizontal="right" vertical="center" wrapText="1"/>
    </xf>
    <xf numFmtId="0" fontId="57" fillId="13" borderId="48" xfId="40" quotePrefix="1" applyFont="1" applyFill="1" applyBorder="1" applyAlignment="1">
      <alignment horizontal="left" vertical="top" wrapText="1"/>
    </xf>
    <xf numFmtId="0" fontId="57" fillId="13" borderId="4" xfId="40" quotePrefix="1" applyFont="1" applyFill="1" applyBorder="1" applyAlignment="1">
      <alignment horizontal="left" vertical="top" wrapText="1"/>
    </xf>
    <xf numFmtId="0" fontId="57" fillId="13" borderId="79" xfId="40" quotePrefix="1" applyFont="1" applyFill="1" applyBorder="1" applyAlignment="1">
      <alignment horizontal="left" vertical="top" wrapText="1"/>
    </xf>
    <xf numFmtId="0" fontId="30" fillId="0" borderId="84" xfId="4" applyFont="1" applyBorder="1" applyAlignment="1">
      <alignment horizontal="center" wrapText="1"/>
    </xf>
    <xf numFmtId="0" fontId="117" fillId="0" borderId="14" xfId="4" applyFont="1" applyBorder="1" applyAlignment="1">
      <alignment horizontal="left"/>
    </xf>
    <xf numFmtId="0" fontId="117" fillId="0" borderId="0" xfId="4" applyFont="1" applyBorder="1" applyAlignment="1">
      <alignment horizontal="left"/>
    </xf>
    <xf numFmtId="0" fontId="117" fillId="0" borderId="6" xfId="4" applyFont="1" applyBorder="1" applyAlignment="1">
      <alignment horizontal="left"/>
    </xf>
    <xf numFmtId="0" fontId="89" fillId="0" borderId="13" xfId="4" quotePrefix="1" applyFont="1" applyBorder="1" applyAlignment="1">
      <alignment horizontal="left" vertical="center" wrapText="1"/>
    </xf>
    <xf numFmtId="0" fontId="89" fillId="0" borderId="84" xfId="4" applyFont="1" applyBorder="1" applyAlignment="1">
      <alignment horizontal="left" vertical="center" wrapText="1"/>
    </xf>
    <xf numFmtId="0" fontId="21" fillId="39" borderId="54" xfId="0" quotePrefix="1" applyFont="1" applyFill="1" applyBorder="1" applyAlignment="1">
      <alignment horizontal="left" vertical="top" wrapText="1"/>
    </xf>
    <xf numFmtId="0" fontId="21" fillId="13" borderId="36" xfId="46" quotePrefix="1" applyFont="1" applyFill="1" applyBorder="1" applyAlignment="1">
      <alignment horizontal="right" vertical="center" wrapText="1"/>
    </xf>
    <xf numFmtId="0" fontId="21" fillId="13" borderId="56" xfId="46" quotePrefix="1" applyFont="1" applyFill="1" applyBorder="1" applyAlignment="1">
      <alignment horizontal="right" vertical="center" wrapText="1"/>
    </xf>
    <xf numFmtId="0" fontId="30" fillId="13" borderId="19" xfId="46" quotePrefix="1" applyFont="1" applyFill="1" applyBorder="1" applyAlignment="1">
      <alignment horizontal="left" vertical="center" wrapText="1"/>
    </xf>
    <xf numFmtId="0" fontId="30" fillId="13" borderId="79" xfId="46" quotePrefix="1" applyFont="1" applyFill="1" applyBorder="1" applyAlignment="1">
      <alignment horizontal="left" vertical="center" wrapText="1"/>
    </xf>
    <xf numFmtId="0" fontId="30" fillId="13" borderId="1" xfId="46" quotePrefix="1" applyFont="1" applyFill="1" applyBorder="1" applyAlignment="1">
      <alignment horizontal="center" vertical="center" wrapText="1"/>
    </xf>
    <xf numFmtId="0" fontId="91" fillId="0" borderId="15" xfId="48" applyFont="1" applyBorder="1" applyAlignment="1">
      <alignment horizontal="center" vertical="center"/>
    </xf>
    <xf numFmtId="0" fontId="91" fillId="0" borderId="54" xfId="48" applyFont="1" applyBorder="1" applyAlignment="1">
      <alignment horizontal="center" vertical="center"/>
    </xf>
    <xf numFmtId="0" fontId="37" fillId="7" borderId="29" xfId="20" applyFont="1" applyFill="1" applyBorder="1" applyAlignment="1" applyProtection="1">
      <alignment horizontal="left" vertical="top" wrapText="1"/>
      <protection locked="0"/>
    </xf>
    <xf numFmtId="0" fontId="37" fillId="7" borderId="21" xfId="20" applyFont="1" applyFill="1" applyBorder="1" applyAlignment="1" applyProtection="1">
      <alignment horizontal="left" vertical="top" wrapText="1"/>
      <protection locked="0"/>
    </xf>
    <xf numFmtId="0" fontId="37" fillId="7" borderId="32" xfId="20" applyFont="1" applyFill="1" applyBorder="1" applyAlignment="1" applyProtection="1">
      <alignment horizontal="left" vertical="top" wrapText="1"/>
      <protection locked="0"/>
    </xf>
    <xf numFmtId="0" fontId="48" fillId="0" borderId="19" xfId="43" applyFont="1" applyFill="1" applyBorder="1" applyAlignment="1">
      <alignment horizontal="left" vertical="center" wrapText="1"/>
    </xf>
    <xf numFmtId="0" fontId="48" fillId="0" borderId="4" xfId="43" applyFont="1" applyFill="1" applyBorder="1" applyAlignment="1">
      <alignment horizontal="left" vertical="center" wrapText="1"/>
    </xf>
    <xf numFmtId="0" fontId="48" fillId="0" borderId="20" xfId="43" applyFont="1" applyFill="1" applyBorder="1" applyAlignment="1">
      <alignment horizontal="left" vertical="center" wrapText="1"/>
    </xf>
    <xf numFmtId="0" fontId="37" fillId="7" borderId="86" xfId="20" applyFont="1" applyFill="1" applyBorder="1" applyAlignment="1" applyProtection="1">
      <alignment horizontal="left" vertical="center" wrapText="1"/>
      <protection locked="0"/>
    </xf>
    <xf numFmtId="0" fontId="37" fillId="7" borderId="7" xfId="20" applyFont="1" applyFill="1" applyBorder="1" applyAlignment="1" applyProtection="1">
      <alignment horizontal="left" vertical="center" wrapText="1"/>
      <protection locked="0"/>
    </xf>
    <xf numFmtId="0" fontId="37" fillId="7" borderId="49" xfId="20" applyFont="1" applyFill="1" applyBorder="1" applyAlignment="1" applyProtection="1">
      <alignment horizontal="left" vertical="center" wrapText="1"/>
      <protection locked="0"/>
    </xf>
    <xf numFmtId="0" fontId="24" fillId="0" borderId="1" xfId="20" applyFont="1" applyBorder="1" applyAlignment="1">
      <alignment horizontal="center"/>
    </xf>
    <xf numFmtId="0" fontId="24" fillId="0" borderId="76" xfId="20" applyFont="1" applyBorder="1" applyAlignment="1">
      <alignment horizontal="center" wrapText="1"/>
    </xf>
    <xf numFmtId="0" fontId="24" fillId="0" borderId="28" xfId="20" applyFont="1" applyBorder="1" applyAlignment="1">
      <alignment horizontal="center" wrapText="1"/>
    </xf>
    <xf numFmtId="0" fontId="37" fillId="0" borderId="86" xfId="20" applyFont="1" applyBorder="1" applyAlignment="1">
      <alignment horizontal="right" vertical="center" wrapText="1" shrinkToFit="1"/>
    </xf>
    <xf numFmtId="0" fontId="37" fillId="0" borderId="7" xfId="20" applyFont="1" applyBorder="1" applyAlignment="1">
      <alignment horizontal="right" vertical="center" wrapText="1" shrinkToFit="1"/>
    </xf>
    <xf numFmtId="0" fontId="24" fillId="0" borderId="75" xfId="20" applyFont="1" applyBorder="1" applyAlignment="1">
      <alignment horizontal="center" wrapText="1"/>
    </xf>
    <xf numFmtId="0" fontId="24" fillId="0" borderId="1" xfId="20" applyFont="1" applyBorder="1" applyAlignment="1">
      <alignment horizontal="center" wrapText="1"/>
    </xf>
    <xf numFmtId="0" fontId="21" fillId="0" borderId="26" xfId="54" applyFont="1" applyFill="1" applyBorder="1" applyAlignment="1">
      <alignment horizontal="left" vertical="center" wrapText="1"/>
    </xf>
    <xf numFmtId="0" fontId="21" fillId="0" borderId="7" xfId="54" applyFont="1" applyFill="1" applyBorder="1" applyAlignment="1">
      <alignment horizontal="left" vertical="center" wrapText="1"/>
    </xf>
    <xf numFmtId="0" fontId="21" fillId="0" borderId="27" xfId="54" applyFont="1" applyFill="1" applyBorder="1" applyAlignment="1">
      <alignment horizontal="left" vertical="center" wrapText="1"/>
    </xf>
    <xf numFmtId="0" fontId="21" fillId="39" borderId="26" xfId="54" applyFont="1" applyFill="1" applyBorder="1" applyAlignment="1">
      <alignment horizontal="left" vertical="center" wrapText="1"/>
    </xf>
    <xf numFmtId="0" fontId="21" fillId="39" borderId="49" xfId="54" applyFont="1" applyFill="1" applyBorder="1" applyAlignment="1">
      <alignment horizontal="left" vertical="center" wrapText="1"/>
    </xf>
    <xf numFmtId="0" fontId="47" fillId="39" borderId="86" xfId="43" applyFont="1" applyFill="1" applyBorder="1" applyAlignment="1">
      <alignment horizontal="left" vertical="center" wrapText="1"/>
    </xf>
    <xf numFmtId="0" fontId="47" fillId="39" borderId="7" xfId="43" applyFont="1" applyFill="1" applyBorder="1" applyAlignment="1">
      <alignment horizontal="left" vertical="center" wrapText="1"/>
    </xf>
    <xf numFmtId="0" fontId="47" fillId="39" borderId="49" xfId="43" applyFont="1" applyFill="1" applyBorder="1" applyAlignment="1">
      <alignment horizontal="left" vertical="center" wrapText="1"/>
    </xf>
    <xf numFmtId="0" fontId="47" fillId="0" borderId="86" xfId="43" applyFont="1" applyFill="1" applyBorder="1" applyAlignment="1">
      <alignment horizontal="right" vertical="center" wrapText="1"/>
    </xf>
    <xf numFmtId="0" fontId="47" fillId="0" borderId="49" xfId="43" applyFont="1" applyFill="1" applyBorder="1" applyAlignment="1">
      <alignment horizontal="right" vertical="center" wrapText="1"/>
    </xf>
    <xf numFmtId="0" fontId="17" fillId="0" borderId="26" xfId="20" applyBorder="1" applyAlignment="1">
      <alignment horizontal="center"/>
    </xf>
    <xf numFmtId="0" fontId="17" fillId="0" borderId="7" xfId="20" applyBorder="1" applyAlignment="1">
      <alignment horizontal="center"/>
    </xf>
    <xf numFmtId="0" fontId="17" fillId="0" borderId="49" xfId="20" applyBorder="1" applyAlignment="1">
      <alignment horizontal="center"/>
    </xf>
    <xf numFmtId="164" fontId="37" fillId="0" borderId="86" xfId="20" applyNumberFormat="1" applyFont="1" applyBorder="1" applyAlignment="1">
      <alignment horizontal="center" vertical="center"/>
    </xf>
    <xf numFmtId="164" fontId="37" fillId="0" borderId="7" xfId="20" applyNumberFormat="1" applyFont="1" applyBorder="1" applyAlignment="1">
      <alignment horizontal="center" vertical="center"/>
    </xf>
    <xf numFmtId="164" fontId="37" fillId="0" borderId="49" xfId="20" applyNumberFormat="1" applyFont="1" applyBorder="1" applyAlignment="1">
      <alignment horizontal="center" vertical="center"/>
    </xf>
    <xf numFmtId="0" fontId="24" fillId="0" borderId="39" xfId="20" applyFont="1" applyBorder="1" applyAlignment="1">
      <alignment horizontal="left" wrapText="1"/>
    </xf>
    <xf numFmtId="0" fontId="24" fillId="0" borderId="9" xfId="20" applyFont="1" applyBorder="1" applyAlignment="1">
      <alignment horizontal="left" wrapText="1"/>
    </xf>
    <xf numFmtId="0" fontId="24" fillId="0" borderId="19" xfId="20" applyFont="1" applyBorder="1" applyAlignment="1">
      <alignment horizontal="left" wrapText="1"/>
    </xf>
    <xf numFmtId="0" fontId="24" fillId="0" borderId="79" xfId="20" applyFont="1" applyBorder="1" applyAlignment="1">
      <alignment horizontal="left" wrapText="1"/>
    </xf>
    <xf numFmtId="0" fontId="24" fillId="0" borderId="3" xfId="20" applyFont="1" applyBorder="1" applyAlignment="1">
      <alignment horizontal="center" wrapText="1"/>
    </xf>
    <xf numFmtId="0" fontId="24" fillId="0" borderId="0" xfId="20" applyFont="1" applyBorder="1" applyAlignment="1">
      <alignment horizontal="center" wrapText="1"/>
    </xf>
    <xf numFmtId="0" fontId="24" fillId="0" borderId="6" xfId="20" applyFont="1" applyBorder="1" applyAlignment="1">
      <alignment horizontal="center" wrapText="1"/>
    </xf>
    <xf numFmtId="0" fontId="24" fillId="0" borderId="48" xfId="20" applyFont="1" applyBorder="1" applyAlignment="1">
      <alignment horizontal="center" wrapText="1"/>
    </xf>
    <xf numFmtId="0" fontId="24" fillId="0" borderId="4" xfId="20" applyFont="1" applyBorder="1" applyAlignment="1">
      <alignment horizontal="center" wrapText="1"/>
    </xf>
    <xf numFmtId="0" fontId="24" fillId="0" borderId="79" xfId="20" applyFont="1" applyBorder="1" applyAlignment="1">
      <alignment horizontal="center" wrapText="1"/>
    </xf>
    <xf numFmtId="0" fontId="94" fillId="0" borderId="86" xfId="20" applyFont="1" applyBorder="1" applyAlignment="1">
      <alignment horizontal="left" vertical="center"/>
    </xf>
    <xf numFmtId="0" fontId="94" fillId="0" borderId="7" xfId="20" applyFont="1" applyBorder="1" applyAlignment="1">
      <alignment horizontal="left" vertical="center"/>
    </xf>
    <xf numFmtId="0" fontId="94" fillId="0" borderId="49" xfId="20" applyFont="1" applyBorder="1" applyAlignment="1">
      <alignment horizontal="left" vertical="center"/>
    </xf>
    <xf numFmtId="0" fontId="24" fillId="0" borderId="8" xfId="20" applyFont="1" applyBorder="1" applyAlignment="1">
      <alignment horizontal="center" wrapText="1"/>
    </xf>
    <xf numFmtId="0" fontId="24" fillId="0" borderId="84" xfId="20" applyFont="1" applyBorder="1" applyAlignment="1">
      <alignment horizontal="center" wrapText="1"/>
    </xf>
    <xf numFmtId="0" fontId="93" fillId="0" borderId="86" xfId="48" applyFont="1" applyBorder="1" applyAlignment="1">
      <alignment horizontal="center" vertical="center"/>
    </xf>
    <xf numFmtId="0" fontId="93" fillId="0" borderId="7" xfId="48" applyFont="1" applyBorder="1" applyAlignment="1">
      <alignment horizontal="center" vertical="center"/>
    </xf>
    <xf numFmtId="0" fontId="93" fillId="0" borderId="49" xfId="48" applyFont="1" applyBorder="1" applyAlignment="1">
      <alignment horizontal="center" vertical="center"/>
    </xf>
    <xf numFmtId="0" fontId="24" fillId="0" borderId="8" xfId="20" applyFont="1" applyBorder="1" applyAlignment="1">
      <alignment horizontal="center" vertical="center" wrapText="1"/>
    </xf>
    <xf numFmtId="0" fontId="24" fillId="0" borderId="1" xfId="20" applyFont="1" applyBorder="1" applyAlignment="1">
      <alignment horizontal="center" vertical="center"/>
    </xf>
    <xf numFmtId="6" fontId="115" fillId="0" borderId="86" xfId="11" quotePrefix="1" applyNumberFormat="1" applyFont="1" applyBorder="1" applyAlignment="1">
      <alignment horizontal="center" vertical="center" shrinkToFit="1"/>
    </xf>
    <xf numFmtId="6" fontId="115" fillId="0" borderId="81" xfId="11" applyNumberFormat="1" applyFont="1" applyBorder="1" applyAlignment="1">
      <alignment horizontal="center" vertical="center" shrinkToFit="1"/>
    </xf>
    <xf numFmtId="0" fontId="17" fillId="0" borderId="34" xfId="11" applyBorder="1" applyAlignment="1">
      <alignment horizontal="center" vertical="center"/>
    </xf>
    <xf numFmtId="0" fontId="17" fillId="0" borderId="8" xfId="11" applyBorder="1" applyAlignment="1">
      <alignment horizontal="center" vertical="center"/>
    </xf>
    <xf numFmtId="0" fontId="17" fillId="0" borderId="13" xfId="11" applyBorder="1" applyAlignment="1">
      <alignment horizontal="center" vertical="center"/>
    </xf>
    <xf numFmtId="0" fontId="17" fillId="0" borderId="84" xfId="11" applyBorder="1" applyAlignment="1">
      <alignment horizontal="center" vertical="center"/>
    </xf>
    <xf numFmtId="0" fontId="17" fillId="0" borderId="33" xfId="11" applyBorder="1" applyAlignment="1">
      <alignment horizontal="center" vertical="center"/>
    </xf>
    <xf numFmtId="0" fontId="17" fillId="0" borderId="1" xfId="11" applyBorder="1" applyAlignment="1">
      <alignment horizontal="center" vertical="center"/>
    </xf>
    <xf numFmtId="0" fontId="17" fillId="0" borderId="26" xfId="11" applyBorder="1" applyAlignment="1">
      <alignment horizontal="center" vertical="center"/>
    </xf>
    <xf numFmtId="0" fontId="17" fillId="0" borderId="7" xfId="11" applyBorder="1" applyAlignment="1">
      <alignment horizontal="center" vertical="center"/>
    </xf>
    <xf numFmtId="0" fontId="30" fillId="0" borderId="26" xfId="11" applyFont="1" applyBorder="1" applyAlignment="1">
      <alignment horizontal="center" vertical="center"/>
    </xf>
    <xf numFmtId="0" fontId="30" fillId="0" borderId="81" xfId="11" applyFont="1" applyBorder="1" applyAlignment="1">
      <alignment horizontal="center" vertical="center"/>
    </xf>
    <xf numFmtId="0" fontId="30" fillId="0" borderId="19" xfId="11" applyFont="1" applyBorder="1" applyAlignment="1">
      <alignment horizontal="center" vertical="center"/>
    </xf>
    <xf numFmtId="0" fontId="30" fillId="0" borderId="79" xfId="11" applyFont="1" applyBorder="1" applyAlignment="1">
      <alignment horizontal="center" vertical="center"/>
    </xf>
    <xf numFmtId="0" fontId="17" fillId="0" borderId="81" xfId="11" applyBorder="1" applyAlignment="1">
      <alignment horizontal="center" vertical="center"/>
    </xf>
    <xf numFmtId="0" fontId="17" fillId="0" borderId="82" xfId="11" applyBorder="1" applyAlignment="1">
      <alignment horizontal="center" vertical="center"/>
    </xf>
    <xf numFmtId="0" fontId="17" fillId="0" borderId="75" xfId="11" applyBorder="1" applyAlignment="1">
      <alignment horizontal="center" vertical="center"/>
    </xf>
    <xf numFmtId="0" fontId="30" fillId="0" borderId="22" xfId="11" applyNumberFormat="1" applyFont="1" applyBorder="1" applyAlignment="1">
      <alignment horizontal="right" vertical="center"/>
    </xf>
    <xf numFmtId="0" fontId="30" fillId="0" borderId="23" xfId="11" applyNumberFormat="1" applyFont="1" applyBorder="1" applyAlignment="1">
      <alignment horizontal="right" vertical="center"/>
    </xf>
    <xf numFmtId="0" fontId="30" fillId="0" borderId="24" xfId="11" applyNumberFormat="1" applyFont="1" applyBorder="1" applyAlignment="1">
      <alignment horizontal="right" vertical="center"/>
    </xf>
    <xf numFmtId="166" fontId="23" fillId="0" borderId="39" xfId="11" applyNumberFormat="1" applyFont="1" applyBorder="1" applyAlignment="1">
      <alignment horizontal="center" vertical="center"/>
    </xf>
    <xf numFmtId="166" fontId="23" fillId="0" borderId="5" xfId="11" applyNumberFormat="1" applyFont="1" applyBorder="1" applyAlignment="1">
      <alignment horizontal="center" vertical="center"/>
    </xf>
    <xf numFmtId="0" fontId="91" fillId="0" borderId="2" xfId="11" applyFont="1" applyBorder="1" applyAlignment="1">
      <alignment horizontal="center" vertical="center"/>
    </xf>
    <xf numFmtId="0" fontId="91" fillId="0" borderId="5" xfId="11" applyFont="1" applyBorder="1" applyAlignment="1">
      <alignment horizontal="center" vertical="center"/>
    </xf>
    <xf numFmtId="0" fontId="91" fillId="0" borderId="37" xfId="11" applyFont="1" applyBorder="1" applyAlignment="1">
      <alignment horizontal="center" vertical="center"/>
    </xf>
    <xf numFmtId="0" fontId="30" fillId="0" borderId="7" xfId="11" applyFont="1" applyBorder="1" applyAlignment="1">
      <alignment horizontal="center" vertical="center"/>
    </xf>
    <xf numFmtId="0" fontId="30" fillId="0" borderId="49" xfId="11" applyFont="1" applyBorder="1" applyAlignment="1">
      <alignment horizontal="center" vertical="center"/>
    </xf>
    <xf numFmtId="0" fontId="26" fillId="0" borderId="26" xfId="11" applyFont="1" applyBorder="1" applyAlignment="1">
      <alignment horizontal="center" vertical="center" wrapText="1"/>
    </xf>
    <xf numFmtId="0" fontId="26" fillId="0" borderId="7" xfId="11" applyFont="1" applyBorder="1" applyAlignment="1">
      <alignment horizontal="center" vertical="center" wrapText="1"/>
    </xf>
    <xf numFmtId="9" fontId="17" fillId="7" borderId="19" xfId="12" applyFont="1" applyFill="1" applyBorder="1" applyAlignment="1" applyProtection="1">
      <alignment horizontal="center" vertical="center" shrinkToFit="1"/>
      <protection locked="0"/>
    </xf>
    <xf numFmtId="9" fontId="17" fillId="35" borderId="78" xfId="12" applyFont="1" applyFill="1" applyBorder="1" applyAlignment="1" applyProtection="1">
      <alignment horizontal="center" vertical="center" shrinkToFit="1"/>
      <protection locked="0"/>
    </xf>
    <xf numFmtId="9" fontId="17" fillId="7" borderId="26" xfId="12" applyFont="1" applyFill="1" applyBorder="1" applyAlignment="1" applyProtection="1">
      <alignment horizontal="center" vertical="center" shrinkToFit="1"/>
      <protection locked="0"/>
    </xf>
    <xf numFmtId="9" fontId="17" fillId="35" borderId="80" xfId="12" applyFont="1" applyFill="1" applyBorder="1" applyAlignment="1" applyProtection="1">
      <alignment horizontal="center" vertical="center" shrinkToFit="1"/>
      <protection locked="0"/>
    </xf>
    <xf numFmtId="0" fontId="99" fillId="0" borderId="26" xfId="11" applyFont="1" applyBorder="1" applyAlignment="1">
      <alignment horizontal="center" vertical="center"/>
    </xf>
    <xf numFmtId="0" fontId="99" fillId="0" borderId="7" xfId="11" applyFont="1" applyBorder="1" applyAlignment="1">
      <alignment horizontal="center" vertical="center"/>
    </xf>
    <xf numFmtId="0" fontId="99" fillId="0" borderId="27" xfId="11" applyFont="1" applyBorder="1" applyAlignment="1">
      <alignment horizontal="center" vertical="center"/>
    </xf>
    <xf numFmtId="37" fontId="120" fillId="4" borderId="3" xfId="24" applyNumberFormat="1" applyFont="1" applyFill="1" applyBorder="1" applyAlignment="1">
      <alignment horizontal="left" vertical="center"/>
    </xf>
    <xf numFmtId="37" fontId="119" fillId="4" borderId="0" xfId="24" applyNumberFormat="1" applyFont="1" applyFill="1" applyAlignment="1">
      <alignment horizontal="left" vertical="center"/>
    </xf>
    <xf numFmtId="38" fontId="123" fillId="0" borderId="0" xfId="0" quotePrefix="1" applyNumberFormat="1" applyFont="1" applyBorder="1" applyAlignment="1">
      <alignment horizontal="left" vertical="center"/>
    </xf>
    <xf numFmtId="38" fontId="123" fillId="0" borderId="0" xfId="0" applyNumberFormat="1" applyFont="1" applyBorder="1" applyAlignment="1">
      <alignment horizontal="left" vertical="center"/>
    </xf>
    <xf numFmtId="0" fontId="37" fillId="0" borderId="0" xfId="11" applyFont="1" applyAlignment="1">
      <alignment horizontal="left"/>
    </xf>
    <xf numFmtId="37" fontId="34" fillId="0" borderId="0" xfId="11" applyNumberFormat="1" applyFont="1" applyAlignment="1">
      <alignment wrapText="1"/>
    </xf>
    <xf numFmtId="0" fontId="37" fillId="0" borderId="0" xfId="11" applyFont="1" applyAlignment="1"/>
    <xf numFmtId="37" fontId="37" fillId="0" borderId="0" xfId="11" applyNumberFormat="1" applyFont="1" applyAlignment="1">
      <alignment horizontal="left"/>
    </xf>
    <xf numFmtId="0" fontId="37" fillId="0" borderId="0" xfId="11" applyFont="1" applyAlignment="1">
      <alignment horizontal="left" shrinkToFit="1"/>
    </xf>
    <xf numFmtId="37" fontId="34" fillId="0" borderId="0" xfId="11" applyNumberFormat="1" applyFont="1" applyAlignment="1">
      <alignment horizontal="left"/>
    </xf>
    <xf numFmtId="0" fontId="30" fillId="0" borderId="0" xfId="11" applyFont="1" applyAlignment="1">
      <alignment horizontal="left" vertical="center"/>
    </xf>
    <xf numFmtId="0" fontId="91" fillId="0" borderId="86" xfId="11" applyFont="1" applyBorder="1" applyAlignment="1">
      <alignment horizontal="center" vertical="center"/>
    </xf>
    <xf numFmtId="0" fontId="91" fillId="0" borderId="7" xfId="11" applyFont="1" applyBorder="1" applyAlignment="1">
      <alignment horizontal="center" vertical="center"/>
    </xf>
    <xf numFmtId="0" fontId="91" fillId="0" borderId="81" xfId="11" applyFont="1" applyBorder="1" applyAlignment="1">
      <alignment horizontal="center" vertical="center"/>
    </xf>
    <xf numFmtId="0" fontId="61" fillId="0" borderId="48" xfId="11" applyFont="1" applyBorder="1" applyAlignment="1">
      <alignment horizontal="left" vertical="center"/>
    </xf>
    <xf numFmtId="0" fontId="61" fillId="0" borderId="4" xfId="11" applyFont="1" applyBorder="1" applyAlignment="1">
      <alignment horizontal="left" vertical="center"/>
    </xf>
    <xf numFmtId="0" fontId="61" fillId="0" borderId="79" xfId="11" applyFont="1" applyBorder="1" applyAlignment="1">
      <alignment horizontal="left" vertical="center"/>
    </xf>
    <xf numFmtId="0" fontId="21" fillId="0" borderId="48" xfId="11" applyFont="1" applyFill="1" applyBorder="1" applyAlignment="1" applyProtection="1">
      <alignment horizontal="center" vertical="center"/>
    </xf>
    <xf numFmtId="0" fontId="21" fillId="0" borderId="79" xfId="11" applyFont="1" applyFill="1" applyBorder="1" applyAlignment="1" applyProtection="1">
      <alignment horizontal="center" vertical="center"/>
    </xf>
    <xf numFmtId="9" fontId="37" fillId="0" borderId="0" xfId="11" applyNumberFormat="1" applyFont="1" applyAlignment="1">
      <alignment horizontal="left"/>
    </xf>
    <xf numFmtId="9" fontId="37" fillId="0" borderId="0" xfId="11" applyNumberFormat="1" applyFont="1" applyAlignment="1">
      <alignment horizontal="right"/>
    </xf>
    <xf numFmtId="1" fontId="21" fillId="0" borderId="86" xfId="56" applyNumberFormat="1" applyFont="1" applyBorder="1" applyAlignment="1">
      <alignment horizontal="center" vertical="center" wrapText="1"/>
    </xf>
    <xf numFmtId="1" fontId="21" fillId="0" borderId="7" xfId="56" applyNumberFormat="1" applyFont="1" applyBorder="1" applyAlignment="1">
      <alignment horizontal="center" vertical="center" wrapText="1"/>
    </xf>
    <xf numFmtId="1" fontId="21" fillId="0" borderId="81" xfId="56" applyNumberFormat="1" applyFont="1" applyBorder="1" applyAlignment="1">
      <alignment horizontal="center" vertical="center" wrapText="1"/>
    </xf>
    <xf numFmtId="2" fontId="21" fillId="40" borderId="86" xfId="48" applyNumberFormat="1" applyFont="1" applyFill="1" applyBorder="1" applyAlignment="1">
      <alignment horizontal="center" vertical="center"/>
    </xf>
    <xf numFmtId="2" fontId="21" fillId="40" borderId="27" xfId="48" applyNumberFormat="1" applyFont="1" applyFill="1" applyBorder="1" applyAlignment="1">
      <alignment horizontal="center" vertical="center"/>
    </xf>
    <xf numFmtId="2" fontId="21" fillId="0" borderId="26" xfId="56" applyNumberFormat="1" applyFont="1" applyBorder="1" applyAlignment="1">
      <alignment horizontal="left" vertical="center" wrapText="1"/>
    </xf>
    <xf numFmtId="2" fontId="21" fillId="0" borderId="7" xfId="56" applyNumberFormat="1" applyFont="1" applyBorder="1" applyAlignment="1">
      <alignment horizontal="left" vertical="center" wrapText="1"/>
    </xf>
    <xf numFmtId="2" fontId="21" fillId="7" borderId="86" xfId="56" applyNumberFormat="1" applyFont="1" applyFill="1" applyBorder="1" applyAlignment="1" applyProtection="1">
      <alignment horizontal="center" vertical="center" wrapText="1"/>
      <protection locked="0"/>
    </xf>
    <xf numFmtId="2" fontId="21" fillId="7" borderId="7" xfId="56" applyNumberFormat="1" applyFont="1" applyFill="1" applyBorder="1" applyAlignment="1" applyProtection="1">
      <alignment horizontal="center" vertical="center" wrapText="1"/>
      <protection locked="0"/>
    </xf>
    <xf numFmtId="2" fontId="21" fillId="7" borderId="81" xfId="56" applyNumberFormat="1" applyFont="1" applyFill="1" applyBorder="1" applyAlignment="1" applyProtection="1">
      <alignment horizontal="center" vertical="center" wrapText="1"/>
      <protection locked="0"/>
    </xf>
    <xf numFmtId="2" fontId="21" fillId="0" borderId="81" xfId="56" applyNumberFormat="1" applyFont="1" applyBorder="1" applyAlignment="1">
      <alignment horizontal="left" vertical="center" wrapText="1"/>
    </xf>
    <xf numFmtId="2" fontId="113" fillId="0" borderId="86" xfId="48" applyNumberFormat="1" applyFont="1" applyFill="1" applyBorder="1" applyAlignment="1">
      <alignment horizontal="center" vertical="center"/>
    </xf>
    <xf numFmtId="2" fontId="113" fillId="0" borderId="27" xfId="48" applyNumberFormat="1" applyFont="1" applyFill="1" applyBorder="1" applyAlignment="1">
      <alignment horizontal="center" vertical="center"/>
    </xf>
    <xf numFmtId="2" fontId="21" fillId="0" borderId="86" xfId="56" applyNumberFormat="1" applyFont="1" applyBorder="1" applyAlignment="1">
      <alignment horizontal="right" vertical="center" wrapText="1"/>
    </xf>
    <xf numFmtId="2" fontId="21" fillId="0" borderId="7" xfId="56" applyNumberFormat="1" applyFont="1" applyBorder="1" applyAlignment="1">
      <alignment horizontal="right" vertical="center" wrapText="1"/>
    </xf>
    <xf numFmtId="2" fontId="21" fillId="0" borderId="81" xfId="56" applyNumberFormat="1" applyFont="1" applyBorder="1" applyAlignment="1">
      <alignment horizontal="right" vertical="center" wrapText="1"/>
    </xf>
    <xf numFmtId="3" fontId="21" fillId="7" borderId="86" xfId="56" applyNumberFormat="1" applyFont="1" applyFill="1" applyBorder="1" applyAlignment="1" applyProtection="1">
      <alignment horizontal="center" vertical="center" wrapText="1"/>
      <protection locked="0"/>
    </xf>
    <xf numFmtId="3" fontId="21" fillId="7" borderId="81" xfId="56" applyNumberFormat="1" applyFont="1" applyFill="1" applyBorder="1" applyAlignment="1" applyProtection="1">
      <alignment horizontal="center" vertical="center" wrapText="1"/>
      <protection locked="0"/>
    </xf>
    <xf numFmtId="2" fontId="21" fillId="0" borderId="26" xfId="56" applyNumberFormat="1" applyFont="1" applyBorder="1" applyAlignment="1">
      <alignment horizontal="left" vertical="top" wrapText="1"/>
    </xf>
    <xf numFmtId="2" fontId="21" fillId="0" borderId="7" xfId="56" applyNumberFormat="1" applyFont="1" applyBorder="1" applyAlignment="1">
      <alignment horizontal="left" vertical="top" wrapText="1"/>
    </xf>
    <xf numFmtId="10" fontId="21" fillId="0" borderId="86" xfId="56" applyNumberFormat="1" applyFont="1" applyBorder="1" applyAlignment="1">
      <alignment horizontal="center" vertical="center" wrapText="1"/>
    </xf>
    <xf numFmtId="10" fontId="21" fillId="0" borderId="7" xfId="56" applyNumberFormat="1" applyFont="1" applyBorder="1" applyAlignment="1">
      <alignment horizontal="center" vertical="center" wrapText="1"/>
    </xf>
    <xf numFmtId="10" fontId="21" fillId="0" borderId="81" xfId="56" applyNumberFormat="1" applyFont="1" applyBorder="1" applyAlignment="1">
      <alignment horizontal="center" vertical="center" wrapText="1"/>
    </xf>
    <xf numFmtId="6" fontId="17" fillId="0" borderId="86" xfId="56" applyNumberFormat="1" applyFont="1" applyBorder="1" applyAlignment="1">
      <alignment horizontal="center" vertical="center" wrapText="1"/>
    </xf>
    <xf numFmtId="6" fontId="17" fillId="0" borderId="7" xfId="56" applyNumberFormat="1" applyFont="1" applyBorder="1" applyAlignment="1">
      <alignment horizontal="center" vertical="center" wrapText="1"/>
    </xf>
    <xf numFmtId="6" fontId="17" fillId="0" borderId="81" xfId="56" applyNumberFormat="1" applyFont="1" applyBorder="1" applyAlignment="1">
      <alignment horizontal="center" vertical="center" wrapText="1"/>
    </xf>
    <xf numFmtId="6" fontId="21" fillId="0" borderId="86" xfId="56" applyNumberFormat="1" applyFont="1" applyBorder="1" applyAlignment="1">
      <alignment horizontal="right" vertical="center" wrapText="1"/>
    </xf>
    <xf numFmtId="6" fontId="21" fillId="0" borderId="7" xfId="56" applyNumberFormat="1" applyFont="1" applyBorder="1" applyAlignment="1">
      <alignment horizontal="right" vertical="center" wrapText="1"/>
    </xf>
    <xf numFmtId="6" fontId="21" fillId="0" borderId="81" xfId="56" applyNumberFormat="1" applyFont="1" applyBorder="1" applyAlignment="1">
      <alignment horizontal="right" vertical="center" wrapText="1"/>
    </xf>
    <xf numFmtId="10" fontId="21" fillId="0" borderId="86" xfId="56" applyNumberFormat="1" applyFont="1" applyFill="1" applyBorder="1" applyAlignment="1" applyProtection="1">
      <alignment horizontal="center" vertical="center" wrapText="1"/>
    </xf>
    <xf numFmtId="10" fontId="21" fillId="0" borderId="7" xfId="56" applyNumberFormat="1" applyFont="1" applyFill="1" applyBorder="1" applyAlignment="1" applyProtection="1">
      <alignment horizontal="center" vertical="center" wrapText="1"/>
    </xf>
    <xf numFmtId="10" fontId="21" fillId="0" borderId="81" xfId="56" applyNumberFormat="1" applyFont="1" applyFill="1" applyBorder="1" applyAlignment="1" applyProtection="1">
      <alignment horizontal="center" vertical="center" wrapText="1"/>
    </xf>
    <xf numFmtId="0" fontId="21" fillId="0" borderId="86" xfId="56" applyFont="1" applyFill="1" applyBorder="1" applyAlignment="1">
      <alignment horizontal="right" vertical="top" wrapText="1"/>
    </xf>
    <xf numFmtId="0" fontId="21" fillId="0" borderId="7" xfId="56" applyFont="1" applyFill="1" applyBorder="1" applyAlignment="1">
      <alignment horizontal="right" vertical="top" wrapText="1"/>
    </xf>
    <xf numFmtId="0" fontId="21" fillId="0" borderId="81" xfId="56" applyFont="1" applyFill="1" applyBorder="1" applyAlignment="1">
      <alignment horizontal="right" vertical="top" wrapText="1"/>
    </xf>
    <xf numFmtId="2" fontId="21" fillId="0" borderId="2" xfId="56" applyNumberFormat="1" applyFont="1" applyBorder="1" applyAlignment="1">
      <alignment horizontal="right" vertical="center" wrapText="1"/>
    </xf>
    <xf numFmtId="2" fontId="21" fillId="0" borderId="5" xfId="56" applyNumberFormat="1" applyFont="1" applyBorder="1" applyAlignment="1">
      <alignment horizontal="right" vertical="center" wrapText="1"/>
    </xf>
    <xf numFmtId="0" fontId="47" fillId="7" borderId="81" xfId="0" applyFont="1" applyFill="1" applyBorder="1" applyAlignment="1" applyProtection="1">
      <alignment horizontal="center" vertical="center" wrapText="1"/>
      <protection locked="0"/>
    </xf>
    <xf numFmtId="0" fontId="48" fillId="4" borderId="81" xfId="0" applyFont="1" applyFill="1" applyBorder="1" applyAlignment="1">
      <alignment horizontal="center" wrapText="1"/>
    </xf>
    <xf numFmtId="0" fontId="47" fillId="7" borderId="81" xfId="0" applyFont="1" applyFill="1" applyBorder="1" applyAlignment="1" applyProtection="1">
      <alignment horizontal="center" vertical="center"/>
      <protection locked="0"/>
    </xf>
    <xf numFmtId="2" fontId="30" fillId="33" borderId="36" xfId="48" applyNumberFormat="1" applyFont="1" applyFill="1" applyBorder="1" applyAlignment="1">
      <alignment horizontal="right" vertical="center" wrapText="1"/>
    </xf>
    <xf numFmtId="2" fontId="30" fillId="33" borderId="11" xfId="48" applyNumberFormat="1" applyFont="1" applyFill="1" applyBorder="1" applyAlignment="1">
      <alignment horizontal="right" vertical="center" wrapText="1"/>
    </xf>
    <xf numFmtId="2" fontId="30" fillId="33" borderId="56" xfId="48" applyNumberFormat="1" applyFont="1" applyFill="1" applyBorder="1" applyAlignment="1">
      <alignment horizontal="right" vertical="center" wrapText="1"/>
    </xf>
    <xf numFmtId="2" fontId="124" fillId="0" borderId="10" xfId="48" applyNumberFormat="1" applyFont="1" applyBorder="1" applyAlignment="1">
      <alignment horizontal="left" vertical="center" wrapText="1"/>
    </xf>
    <xf numFmtId="2" fontId="124" fillId="0" borderId="11" xfId="48" applyNumberFormat="1" applyFont="1" applyBorder="1" applyAlignment="1">
      <alignment horizontal="left" vertical="center" wrapText="1"/>
    </xf>
    <xf numFmtId="2" fontId="113" fillId="0" borderId="86" xfId="4" applyNumberFormat="1" applyFont="1" applyFill="1" applyBorder="1" applyAlignment="1">
      <alignment horizontal="center" vertical="center"/>
    </xf>
    <xf numFmtId="2" fontId="113" fillId="0" borderId="27" xfId="4" applyNumberFormat="1" applyFont="1" applyFill="1" applyBorder="1" applyAlignment="1">
      <alignment horizontal="center" vertical="center"/>
    </xf>
    <xf numFmtId="0" fontId="47" fillId="0" borderId="86" xfId="44" applyFill="1" applyBorder="1" applyAlignment="1">
      <alignment horizontal="center" vertical="center" wrapText="1"/>
      <protection locked="0"/>
    </xf>
    <xf numFmtId="0" fontId="47" fillId="0" borderId="7" xfId="44" applyFill="1" applyBorder="1" applyAlignment="1">
      <alignment horizontal="center" vertical="center" wrapText="1"/>
      <protection locked="0"/>
    </xf>
    <xf numFmtId="0" fontId="47" fillId="0" borderId="81" xfId="44" applyFill="1" applyBorder="1" applyAlignment="1">
      <alignment horizontal="center" vertical="center" wrapText="1"/>
      <protection locked="0"/>
    </xf>
    <xf numFmtId="0" fontId="21" fillId="13" borderId="81" xfId="0" quotePrefix="1" applyFont="1" applyFill="1" applyBorder="1" applyAlignment="1">
      <alignment horizontal="left" vertical="center" wrapText="1"/>
    </xf>
    <xf numFmtId="2" fontId="21" fillId="13" borderId="86" xfId="0" quotePrefix="1" applyNumberFormat="1" applyFont="1" applyFill="1" applyBorder="1" applyAlignment="1">
      <alignment horizontal="left" vertical="center" wrapText="1"/>
    </xf>
    <xf numFmtId="0" fontId="47" fillId="0" borderId="81" xfId="46" applyFont="1" applyBorder="1" applyAlignment="1">
      <alignment horizontal="right" vertical="center"/>
    </xf>
    <xf numFmtId="1" fontId="21" fillId="7" borderId="86" xfId="56" applyNumberFormat="1" applyFont="1" applyFill="1" applyBorder="1" applyAlignment="1" applyProtection="1">
      <alignment horizontal="center" vertical="center" wrapText="1"/>
      <protection locked="0"/>
    </xf>
    <xf numFmtId="1" fontId="21" fillId="7" borderId="27" xfId="56" applyNumberFormat="1" applyFont="1" applyFill="1" applyBorder="1" applyAlignment="1" applyProtection="1">
      <alignment horizontal="center" vertical="center" wrapText="1"/>
      <protection locked="0"/>
    </xf>
    <xf numFmtId="2" fontId="21" fillId="0" borderId="86" xfId="56" applyNumberFormat="1" applyFont="1" applyBorder="1" applyAlignment="1">
      <alignment horizontal="center" vertical="center" wrapText="1"/>
    </xf>
    <xf numFmtId="2" fontId="21" fillId="0" borderId="7" xfId="56" applyNumberFormat="1" applyFont="1" applyBorder="1" applyAlignment="1">
      <alignment horizontal="center" vertical="center" wrapText="1"/>
    </xf>
    <xf numFmtId="2" fontId="21" fillId="0" borderId="81" xfId="56" applyNumberFormat="1" applyFont="1" applyBorder="1" applyAlignment="1">
      <alignment horizontal="center" vertical="center" wrapText="1"/>
    </xf>
    <xf numFmtId="2" fontId="30" fillId="0" borderId="16" xfId="48" applyNumberFormat="1" applyFont="1" applyBorder="1" applyAlignment="1">
      <alignment horizontal="left" vertical="center" wrapText="1"/>
    </xf>
    <xf numFmtId="2" fontId="30" fillId="0" borderId="17" xfId="48" applyNumberFormat="1" applyFont="1" applyBorder="1" applyAlignment="1">
      <alignment horizontal="left" vertical="center" wrapText="1"/>
    </xf>
    <xf numFmtId="2" fontId="30" fillId="0" borderId="51" xfId="48" applyNumberFormat="1" applyFont="1" applyBorder="1" applyAlignment="1">
      <alignment horizontal="left" vertical="center" wrapText="1"/>
    </xf>
    <xf numFmtId="2" fontId="30" fillId="41" borderId="53" xfId="48" applyNumberFormat="1" applyFont="1" applyFill="1" applyBorder="1" applyAlignment="1">
      <alignment horizontal="center" vertical="center"/>
    </xf>
    <xf numFmtId="2" fontId="30" fillId="41" borderId="18" xfId="48" applyNumberFormat="1" applyFont="1" applyFill="1" applyBorder="1" applyAlignment="1">
      <alignment horizontal="center" vertical="center"/>
    </xf>
    <xf numFmtId="2" fontId="21" fillId="0" borderId="81" xfId="56" applyNumberFormat="1" applyFont="1" applyBorder="1" applyAlignment="1">
      <alignment horizontal="left" vertical="top" wrapText="1"/>
    </xf>
    <xf numFmtId="1" fontId="22" fillId="41" borderId="48" xfId="0" applyNumberFormat="1" applyFont="1" applyFill="1" applyBorder="1" applyAlignment="1" applyProtection="1">
      <alignment horizontal="center" vertical="center"/>
      <protection locked="0"/>
    </xf>
    <xf numFmtId="1" fontId="22" fillId="41" borderId="20" xfId="0" applyNumberFormat="1" applyFont="1" applyFill="1" applyBorder="1" applyAlignment="1" applyProtection="1">
      <alignment horizontal="center" vertical="center"/>
      <protection locked="0"/>
    </xf>
    <xf numFmtId="0" fontId="21" fillId="13" borderId="29" xfId="0" quotePrefix="1" applyFont="1" applyFill="1" applyBorder="1" applyAlignment="1">
      <alignment horizontal="left" vertical="center" wrapText="1"/>
    </xf>
    <xf numFmtId="0" fontId="21" fillId="13" borderId="21" xfId="0" quotePrefix="1" applyFont="1" applyFill="1" applyBorder="1" applyAlignment="1">
      <alignment horizontal="left" vertical="center" wrapText="1"/>
    </xf>
    <xf numFmtId="0" fontId="21" fillId="13" borderId="30" xfId="0" quotePrefix="1" applyFont="1" applyFill="1" applyBorder="1" applyAlignment="1">
      <alignment horizontal="left" vertical="center" wrapText="1"/>
    </xf>
    <xf numFmtId="0" fontId="47" fillId="0" borderId="19" xfId="0" applyFont="1" applyBorder="1" applyAlignment="1">
      <alignment horizontal="left" vertical="top" wrapText="1"/>
    </xf>
    <xf numFmtId="0" fontId="47" fillId="0" borderId="4" xfId="0" applyFont="1" applyBorder="1" applyAlignment="1">
      <alignment horizontal="left" vertical="top" wrapText="1"/>
    </xf>
    <xf numFmtId="2" fontId="30" fillId="14" borderId="50" xfId="48" applyNumberFormat="1" applyFont="1" applyFill="1" applyBorder="1" applyAlignment="1">
      <alignment horizontal="center" vertical="center"/>
    </xf>
    <xf numFmtId="2" fontId="30" fillId="14" borderId="40" xfId="48" applyNumberFormat="1" applyFont="1" applyFill="1" applyBorder="1" applyAlignment="1">
      <alignment horizontal="center" vertical="center"/>
    </xf>
    <xf numFmtId="2" fontId="21" fillId="40" borderId="1" xfId="48" applyNumberFormat="1" applyFont="1" applyFill="1" applyBorder="1" applyAlignment="1">
      <alignment horizontal="center" vertical="center"/>
    </xf>
    <xf numFmtId="2" fontId="21" fillId="40" borderId="28" xfId="48" applyNumberFormat="1" applyFont="1" applyFill="1" applyBorder="1" applyAlignment="1">
      <alignment horizontal="center" vertical="center"/>
    </xf>
    <xf numFmtId="2" fontId="30" fillId="0" borderId="45" xfId="48" applyNumberFormat="1" applyFont="1" applyBorder="1" applyAlignment="1">
      <alignment horizontal="left" vertical="center" wrapText="1"/>
    </xf>
    <xf numFmtId="2" fontId="30" fillId="0" borderId="50" xfId="48" applyNumberFormat="1" applyFont="1" applyBorder="1" applyAlignment="1">
      <alignment horizontal="left" vertical="center" wrapText="1"/>
    </xf>
    <xf numFmtId="0" fontId="47" fillId="7" borderId="86" xfId="44" applyBorder="1" applyAlignment="1" applyProtection="1">
      <alignment horizontal="center" vertical="center" wrapText="1"/>
      <protection locked="0"/>
    </xf>
    <xf numFmtId="0" fontId="47" fillId="7" borderId="27" xfId="44" applyBorder="1" applyAlignment="1" applyProtection="1">
      <alignment horizontal="center" vertical="center" wrapText="1"/>
      <protection locked="0"/>
    </xf>
    <xf numFmtId="0" fontId="47" fillId="7" borderId="86" xfId="44" applyBorder="1" applyAlignment="1">
      <alignment horizontal="center" vertical="center" wrapText="1"/>
      <protection locked="0"/>
    </xf>
    <xf numFmtId="0" fontId="47" fillId="7" borderId="7" xfId="44" applyBorder="1" applyAlignment="1">
      <alignment horizontal="center" vertical="center" wrapText="1"/>
      <protection locked="0"/>
    </xf>
    <xf numFmtId="0" fontId="47" fillId="7" borderId="81" xfId="44" applyBorder="1" applyAlignment="1">
      <alignment horizontal="center" vertical="center" wrapText="1"/>
      <protection locked="0"/>
    </xf>
    <xf numFmtId="0" fontId="47" fillId="0" borderId="81" xfId="0" applyFont="1" applyBorder="1" applyAlignment="1">
      <alignment horizontal="left" vertical="center" wrapText="1"/>
    </xf>
    <xf numFmtId="0" fontId="47" fillId="0" borderId="19" xfId="0" applyFont="1" applyBorder="1" applyAlignment="1">
      <alignment horizontal="left" vertical="center" wrapText="1"/>
    </xf>
    <xf numFmtId="0" fontId="47" fillId="0" borderId="4" xfId="0" applyFont="1" applyBorder="1" applyAlignment="1">
      <alignment horizontal="left" vertical="center" wrapText="1"/>
    </xf>
    <xf numFmtId="0" fontId="47" fillId="0" borderId="79" xfId="0" applyFont="1" applyBorder="1" applyAlignment="1">
      <alignment horizontal="left" vertical="center" wrapText="1"/>
    </xf>
    <xf numFmtId="2" fontId="21" fillId="13" borderId="31" xfId="0" quotePrefix="1" applyNumberFormat="1" applyFont="1" applyFill="1" applyBorder="1" applyAlignment="1">
      <alignment horizontal="left" vertical="center" wrapText="1"/>
    </xf>
    <xf numFmtId="0" fontId="21" fillId="13" borderId="31" xfId="0" quotePrefix="1" applyFont="1" applyFill="1" applyBorder="1" applyAlignment="1">
      <alignment horizontal="left" vertical="center" wrapText="1"/>
    </xf>
    <xf numFmtId="0" fontId="54" fillId="0" borderId="16" xfId="53" applyFont="1" applyBorder="1" applyAlignment="1">
      <alignment horizontal="center" vertical="center" wrapText="1"/>
    </xf>
    <xf numFmtId="0" fontId="54" fillId="0" borderId="17" xfId="53" applyFont="1" applyBorder="1" applyAlignment="1">
      <alignment horizontal="center" vertical="center" wrapText="1"/>
    </xf>
    <xf numFmtId="0" fontId="54" fillId="0" borderId="51" xfId="53" applyFont="1" applyBorder="1" applyAlignment="1">
      <alignment horizontal="center" vertical="center" wrapText="1"/>
    </xf>
    <xf numFmtId="166" fontId="23" fillId="0" borderId="50" xfId="53" applyNumberFormat="1" applyFont="1" applyBorder="1" applyAlignment="1">
      <alignment horizontal="center" vertical="center" wrapText="1"/>
    </xf>
    <xf numFmtId="166" fontId="23" fillId="0" borderId="40" xfId="53" applyNumberFormat="1" applyFont="1" applyBorder="1" applyAlignment="1">
      <alignment horizontal="center" vertical="center" wrapText="1"/>
    </xf>
    <xf numFmtId="2" fontId="30" fillId="14" borderId="75" xfId="48" applyNumberFormat="1" applyFont="1" applyFill="1" applyBorder="1" applyAlignment="1">
      <alignment horizontal="center" vertical="center"/>
    </xf>
    <xf numFmtId="2" fontId="30" fillId="14" borderId="76" xfId="48" applyNumberFormat="1" applyFont="1" applyFill="1" applyBorder="1" applyAlignment="1">
      <alignment horizontal="center" vertical="center"/>
    </xf>
    <xf numFmtId="4" fontId="30" fillId="40" borderId="84" xfId="48" applyNumberFormat="1" applyFont="1" applyFill="1" applyBorder="1" applyAlignment="1">
      <alignment horizontal="center" vertical="center"/>
    </xf>
    <xf numFmtId="4" fontId="30" fillId="40" borderId="85" xfId="48" applyNumberFormat="1" applyFont="1" applyFill="1" applyBorder="1" applyAlignment="1">
      <alignment horizontal="center" vertical="center"/>
    </xf>
    <xf numFmtId="2" fontId="21" fillId="0" borderId="13" xfId="56" applyNumberFormat="1" applyFont="1" applyBorder="1" applyAlignment="1">
      <alignment horizontal="left" vertical="top" wrapText="1"/>
    </xf>
    <xf numFmtId="2" fontId="21" fillId="0" borderId="84" xfId="56" applyNumberFormat="1" applyFont="1" applyBorder="1" applyAlignment="1">
      <alignment horizontal="left" vertical="top" wrapText="1"/>
    </xf>
    <xf numFmtId="0" fontId="87" fillId="0" borderId="26" xfId="46" applyFont="1" applyBorder="1" applyAlignment="1">
      <alignment horizontal="left" vertical="center" wrapText="1"/>
    </xf>
    <xf numFmtId="0" fontId="87" fillId="0" borderId="7" xfId="46" applyFont="1" applyBorder="1" applyAlignment="1">
      <alignment horizontal="left" vertical="center" wrapText="1"/>
    </xf>
    <xf numFmtId="0" fontId="87" fillId="0" borderId="27" xfId="46" applyFont="1" applyBorder="1" applyAlignment="1">
      <alignment horizontal="left" vertical="center" wrapText="1"/>
    </xf>
    <xf numFmtId="0" fontId="47" fillId="0" borderId="39" xfId="46" applyFont="1" applyBorder="1" applyAlignment="1" applyProtection="1">
      <alignment horizontal="left" vertical="center" wrapText="1"/>
      <protection locked="0"/>
    </xf>
    <xf numFmtId="0" fontId="47" fillId="0" borderId="5" xfId="46" applyFont="1" applyBorder="1" applyAlignment="1" applyProtection="1">
      <alignment horizontal="left" vertical="center" wrapText="1"/>
      <protection locked="0"/>
    </xf>
    <xf numFmtId="0" fontId="47" fillId="0" borderId="9" xfId="46" applyFont="1" applyBorder="1" applyAlignment="1" applyProtection="1">
      <alignment horizontal="left" vertical="center" wrapText="1"/>
      <protection locked="0"/>
    </xf>
    <xf numFmtId="1" fontId="113" fillId="0" borderId="86" xfId="46" applyNumberFormat="1" applyFont="1" applyBorder="1" applyAlignment="1" applyProtection="1">
      <alignment horizontal="center" vertical="center" wrapText="1"/>
      <protection locked="0"/>
    </xf>
    <xf numFmtId="1" fontId="113" fillId="0" borderId="27" xfId="46" applyNumberFormat="1" applyFont="1" applyBorder="1" applyAlignment="1" applyProtection="1">
      <alignment horizontal="center" vertical="center" wrapText="1"/>
      <protection locked="0"/>
    </xf>
    <xf numFmtId="2" fontId="30" fillId="40" borderId="84" xfId="48" applyNumberFormat="1" applyFont="1" applyFill="1" applyBorder="1" applyAlignment="1">
      <alignment horizontal="center" vertical="center"/>
    </xf>
    <xf numFmtId="2" fontId="30" fillId="40" borderId="85" xfId="48" applyNumberFormat="1" applyFont="1" applyFill="1" applyBorder="1" applyAlignment="1">
      <alignment horizontal="center" vertical="center"/>
    </xf>
    <xf numFmtId="165" fontId="21" fillId="0" borderId="86" xfId="56" applyNumberFormat="1" applyFont="1" applyBorder="1" applyAlignment="1">
      <alignment horizontal="center" vertical="center" wrapText="1"/>
    </xf>
    <xf numFmtId="165" fontId="21" fillId="0" borderId="81" xfId="56" applyNumberFormat="1" applyFont="1" applyBorder="1" applyAlignment="1">
      <alignment horizontal="center" vertical="center" wrapText="1"/>
    </xf>
    <xf numFmtId="2" fontId="114" fillId="0" borderId="86" xfId="48" applyNumberFormat="1" applyFont="1" applyFill="1" applyBorder="1" applyAlignment="1" applyProtection="1">
      <alignment horizontal="center" vertical="center"/>
    </xf>
    <xf numFmtId="2" fontId="114" fillId="0" borderId="27" xfId="48" applyNumberFormat="1" applyFont="1" applyFill="1" applyBorder="1" applyAlignment="1" applyProtection="1">
      <alignment horizontal="center" vertical="center"/>
    </xf>
    <xf numFmtId="0" fontId="21" fillId="0" borderId="26" xfId="56" applyFont="1" applyFill="1" applyBorder="1" applyAlignment="1">
      <alignment vertical="top" wrapText="1"/>
    </xf>
    <xf numFmtId="0" fontId="21" fillId="0" borderId="7" xfId="56" applyFont="1" applyFill="1" applyBorder="1" applyAlignment="1">
      <alignment vertical="top" wrapText="1"/>
    </xf>
    <xf numFmtId="0" fontId="21" fillId="7" borderId="86" xfId="56" applyFont="1" applyFill="1" applyBorder="1" applyAlignment="1" applyProtection="1">
      <alignment horizontal="center" vertical="center" wrapText="1"/>
      <protection locked="0"/>
    </xf>
    <xf numFmtId="0" fontId="21" fillId="7" borderId="81" xfId="56" applyFont="1" applyFill="1" applyBorder="1" applyAlignment="1" applyProtection="1">
      <alignment horizontal="center" vertical="center" wrapText="1"/>
      <protection locked="0"/>
    </xf>
    <xf numFmtId="2" fontId="21" fillId="0" borderId="86" xfId="56" applyNumberFormat="1" applyFont="1" applyFill="1" applyBorder="1" applyAlignment="1">
      <alignment horizontal="right" vertical="center" wrapText="1"/>
    </xf>
    <xf numFmtId="2" fontId="21" fillId="0" borderId="7" xfId="56" applyNumberFormat="1" applyFont="1" applyFill="1" applyBorder="1" applyAlignment="1">
      <alignment horizontal="right" vertical="center" wrapText="1"/>
    </xf>
    <xf numFmtId="2" fontId="21" fillId="0" borderId="81" xfId="56" applyNumberFormat="1" applyFont="1" applyFill="1" applyBorder="1" applyAlignment="1">
      <alignment horizontal="right" vertical="center" wrapText="1"/>
    </xf>
    <xf numFmtId="3" fontId="21" fillId="0" borderId="86" xfId="56" applyNumberFormat="1" applyFont="1" applyBorder="1" applyAlignment="1">
      <alignment horizontal="center" vertical="center" wrapText="1"/>
    </xf>
    <xf numFmtId="3" fontId="21" fillId="0" borderId="7" xfId="56" applyNumberFormat="1" applyFont="1" applyBorder="1" applyAlignment="1">
      <alignment horizontal="center" vertical="center" wrapText="1"/>
    </xf>
    <xf numFmtId="3" fontId="21" fillId="0" borderId="81" xfId="56" applyNumberFormat="1" applyFont="1" applyBorder="1" applyAlignment="1">
      <alignment horizontal="center" vertical="center" wrapText="1"/>
    </xf>
    <xf numFmtId="10" fontId="21" fillId="0" borderId="86" xfId="12" applyNumberFormat="1" applyFont="1" applyFill="1" applyBorder="1" applyAlignment="1" applyProtection="1">
      <alignment horizontal="center" vertical="center" wrapText="1"/>
    </xf>
    <xf numFmtId="10" fontId="21" fillId="0" borderId="7" xfId="12" applyNumberFormat="1" applyFont="1" applyFill="1" applyBorder="1" applyAlignment="1" applyProtection="1">
      <alignment horizontal="center" vertical="center" wrapText="1"/>
    </xf>
    <xf numFmtId="10" fontId="21" fillId="0" borderId="81" xfId="12" applyNumberFormat="1" applyFont="1" applyFill="1" applyBorder="1" applyAlignment="1" applyProtection="1">
      <alignment horizontal="center" vertical="center" wrapText="1"/>
    </xf>
    <xf numFmtId="170" fontId="30" fillId="14" borderId="86" xfId="48" applyNumberFormat="1" applyFont="1" applyFill="1" applyBorder="1" applyAlignment="1">
      <alignment horizontal="center" vertical="center"/>
    </xf>
    <xf numFmtId="170" fontId="30" fillId="14" borderId="27" xfId="48" applyNumberFormat="1" applyFont="1" applyFill="1" applyBorder="1" applyAlignment="1">
      <alignment horizontal="center" vertical="center"/>
    </xf>
    <xf numFmtId="2" fontId="21" fillId="7" borderId="84" xfId="48" applyNumberFormat="1" applyFont="1" applyFill="1" applyBorder="1" applyAlignment="1" applyProtection="1">
      <alignment horizontal="center" vertical="center" wrapText="1"/>
      <protection locked="0"/>
    </xf>
    <xf numFmtId="2" fontId="114" fillId="0" borderId="86" xfId="48" applyNumberFormat="1" applyFont="1" applyFill="1" applyBorder="1" applyAlignment="1">
      <alignment horizontal="center" vertical="center"/>
    </xf>
    <xf numFmtId="2" fontId="114" fillId="0" borderId="27" xfId="48" applyNumberFormat="1" applyFont="1" applyFill="1" applyBorder="1" applyAlignment="1">
      <alignment horizontal="center" vertical="center"/>
    </xf>
    <xf numFmtId="0" fontId="21" fillId="13" borderId="81" xfId="46" quotePrefix="1" applyFont="1" applyFill="1" applyBorder="1" applyAlignment="1">
      <alignment horizontal="left" vertical="center" wrapText="1"/>
    </xf>
    <xf numFmtId="0" fontId="21" fillId="13" borderId="81" xfId="40" quotePrefix="1" applyFont="1" applyFill="1" applyBorder="1" applyAlignment="1">
      <alignment horizontal="left" vertical="center" wrapText="1"/>
    </xf>
    <xf numFmtId="0" fontId="89" fillId="0" borderId="29" xfId="48" applyFont="1" applyFill="1" applyBorder="1" applyAlignment="1">
      <alignment horizontal="left" vertical="top" wrapText="1"/>
    </xf>
    <xf numFmtId="0" fontId="89" fillId="0" borderId="21" xfId="48" applyFont="1" applyFill="1" applyBorder="1" applyAlignment="1">
      <alignment horizontal="left" vertical="top" wrapText="1"/>
    </xf>
    <xf numFmtId="0" fontId="89" fillId="0" borderId="32" xfId="48" applyFont="1" applyFill="1" applyBorder="1" applyAlignment="1">
      <alignment horizontal="left" vertical="top" wrapText="1"/>
    </xf>
    <xf numFmtId="0" fontId="47" fillId="7" borderId="52" xfId="44" applyAlignment="1">
      <alignment horizontal="center" vertical="center" wrapText="1"/>
      <protection locked="0"/>
    </xf>
    <xf numFmtId="2" fontId="21" fillId="0" borderId="29" xfId="56" applyNumberFormat="1" applyFont="1" applyBorder="1" applyAlignment="1">
      <alignment horizontal="left" vertical="top" wrapText="1"/>
    </xf>
    <xf numFmtId="2" fontId="21" fillId="0" borderId="21" xfId="56" applyNumberFormat="1" applyFont="1" applyBorder="1" applyAlignment="1">
      <alignment horizontal="left" vertical="top" wrapText="1"/>
    </xf>
    <xf numFmtId="2" fontId="21" fillId="0" borderId="30" xfId="56" applyNumberFormat="1" applyFont="1" applyBorder="1" applyAlignment="1">
      <alignment horizontal="left" vertical="top" wrapText="1"/>
    </xf>
    <xf numFmtId="2" fontId="21" fillId="7" borderId="44" xfId="48" applyNumberFormat="1" applyFont="1" applyFill="1" applyBorder="1" applyAlignment="1" applyProtection="1">
      <alignment horizontal="center" vertical="center" wrapText="1"/>
      <protection locked="0"/>
    </xf>
    <xf numFmtId="2" fontId="114" fillId="0" borderId="31" xfId="48" applyNumberFormat="1" applyFont="1" applyFill="1" applyBorder="1" applyAlignment="1">
      <alignment horizontal="center" vertical="center"/>
    </xf>
    <xf numFmtId="2" fontId="114" fillId="0" borderId="32" xfId="48" applyNumberFormat="1" applyFont="1" applyFill="1" applyBorder="1" applyAlignment="1">
      <alignment horizontal="center" vertical="center"/>
    </xf>
    <xf numFmtId="2" fontId="30" fillId="0" borderId="19" xfId="48" applyNumberFormat="1" applyFont="1" applyBorder="1" applyAlignment="1">
      <alignment horizontal="left" vertical="center" wrapText="1"/>
    </xf>
    <xf numFmtId="2" fontId="30" fillId="0" borderId="4" xfId="48" applyNumberFormat="1" applyFont="1" applyBorder="1" applyAlignment="1">
      <alignment horizontal="left" vertical="center" wrapText="1"/>
    </xf>
    <xf numFmtId="2" fontId="30" fillId="0" borderId="20" xfId="48" applyNumberFormat="1" applyFont="1" applyBorder="1" applyAlignment="1">
      <alignment horizontal="left" vertical="center" wrapText="1"/>
    </xf>
    <xf numFmtId="2" fontId="21" fillId="0" borderId="26" xfId="48" applyNumberFormat="1" applyFont="1" applyBorder="1" applyAlignment="1">
      <alignment horizontal="left" vertical="center" wrapText="1"/>
    </xf>
    <xf numFmtId="2" fontId="21" fillId="0" borderId="7" xfId="48" applyNumberFormat="1" applyFont="1" applyBorder="1" applyAlignment="1">
      <alignment horizontal="left" vertical="center" wrapText="1"/>
    </xf>
    <xf numFmtId="2" fontId="21" fillId="0" borderId="27" xfId="48" applyNumberFormat="1" applyFont="1" applyBorder="1" applyAlignment="1">
      <alignment horizontal="left" vertical="center" wrapText="1"/>
    </xf>
    <xf numFmtId="2" fontId="21" fillId="0" borderId="86" xfId="56" applyNumberFormat="1" applyFont="1" applyBorder="1" applyAlignment="1">
      <alignment horizontal="left" vertical="top" wrapText="1"/>
    </xf>
    <xf numFmtId="3" fontId="21" fillId="0" borderId="86" xfId="56" applyNumberFormat="1" applyFont="1" applyFill="1" applyBorder="1" applyAlignment="1" applyProtection="1">
      <alignment horizontal="center" vertical="center" wrapText="1"/>
    </xf>
    <xf numFmtId="3" fontId="21" fillId="0" borderId="81" xfId="56" applyNumberFormat="1" applyFont="1" applyFill="1" applyBorder="1" applyAlignment="1" applyProtection="1">
      <alignment horizontal="center" vertical="center" wrapText="1"/>
    </xf>
    <xf numFmtId="2" fontId="21" fillId="0" borderId="86" xfId="56" applyNumberFormat="1" applyFont="1" applyBorder="1" applyAlignment="1">
      <alignment horizontal="right" vertical="top" wrapText="1"/>
    </xf>
    <xf numFmtId="2" fontId="21" fillId="0" borderId="7" xfId="56" applyNumberFormat="1" applyFont="1" applyBorder="1" applyAlignment="1">
      <alignment horizontal="right" vertical="top" wrapText="1"/>
    </xf>
    <xf numFmtId="2" fontId="21" fillId="0" borderId="81" xfId="56" applyNumberFormat="1" applyFont="1" applyBorder="1" applyAlignment="1">
      <alignment horizontal="right" vertical="top" wrapText="1"/>
    </xf>
    <xf numFmtId="0" fontId="47" fillId="0" borderId="86" xfId="48" applyBorder="1" applyAlignment="1">
      <alignment horizontal="right" vertical="center" wrapText="1"/>
    </xf>
    <xf numFmtId="0" fontId="47" fillId="0" borderId="7" xfId="48" applyBorder="1" applyAlignment="1">
      <alignment horizontal="right" vertical="center" wrapText="1"/>
    </xf>
    <xf numFmtId="0" fontId="47" fillId="0" borderId="81" xfId="48" applyBorder="1" applyAlignment="1">
      <alignment horizontal="right" vertical="center" wrapText="1"/>
    </xf>
    <xf numFmtId="2" fontId="21" fillId="40" borderId="84" xfId="48" applyNumberFormat="1" applyFont="1" applyFill="1" applyBorder="1" applyAlignment="1">
      <alignment horizontal="center" vertical="center"/>
    </xf>
    <xf numFmtId="2" fontId="21" fillId="40" borderId="85" xfId="48" applyNumberFormat="1" applyFont="1" applyFill="1" applyBorder="1" applyAlignment="1">
      <alignment horizontal="center" vertical="center"/>
    </xf>
    <xf numFmtId="173" fontId="47" fillId="0" borderId="48" xfId="0" applyNumberFormat="1" applyFont="1" applyBorder="1" applyAlignment="1">
      <alignment horizontal="center" vertical="center" wrapText="1"/>
    </xf>
    <xf numFmtId="173" fontId="47" fillId="0" borderId="4" xfId="0" applyNumberFormat="1" applyFont="1" applyBorder="1" applyAlignment="1">
      <alignment horizontal="center" vertical="center" wrapText="1"/>
    </xf>
    <xf numFmtId="173" fontId="47" fillId="0" borderId="79" xfId="0" applyNumberFormat="1" applyFont="1" applyBorder="1" applyAlignment="1">
      <alignment horizontal="center" vertical="center" wrapText="1"/>
    </xf>
    <xf numFmtId="1" fontId="47" fillId="0" borderId="26" xfId="41" applyNumberFormat="1" applyFont="1" applyBorder="1" applyAlignment="1">
      <alignment horizontal="center" vertical="center"/>
    </xf>
    <xf numFmtId="1" fontId="47" fillId="0" borderId="7" xfId="41" applyNumberFormat="1" applyFont="1" applyBorder="1" applyAlignment="1">
      <alignment horizontal="center" vertical="center"/>
    </xf>
    <xf numFmtId="0" fontId="47" fillId="0" borderId="26" xfId="41" applyFont="1" applyBorder="1" applyAlignment="1">
      <alignment horizontal="center" vertical="center"/>
    </xf>
    <xf numFmtId="0" fontId="47" fillId="0" borderId="7" xfId="41" applyFont="1" applyBorder="1" applyAlignment="1">
      <alignment horizontal="center" vertical="center"/>
    </xf>
    <xf numFmtId="0" fontId="47" fillId="0" borderId="86" xfId="41" applyFont="1" applyFill="1" applyBorder="1" applyAlignment="1" applyProtection="1">
      <alignment horizontal="center" vertical="center"/>
    </xf>
    <xf numFmtId="0" fontId="47" fillId="0" borderId="7" xfId="41" applyFont="1" applyFill="1" applyBorder="1" applyAlignment="1" applyProtection="1">
      <alignment horizontal="center" vertical="center"/>
    </xf>
    <xf numFmtId="0" fontId="47" fillId="7" borderId="86" xfId="41" applyFont="1" applyFill="1" applyBorder="1" applyAlignment="1" applyProtection="1">
      <alignment horizontal="center" vertical="center" wrapText="1"/>
      <protection locked="0"/>
    </xf>
    <xf numFmtId="0" fontId="47" fillId="7" borderId="7" xfId="41" applyFont="1" applyFill="1" applyBorder="1" applyAlignment="1" applyProtection="1">
      <alignment horizontal="center" vertical="center" wrapText="1"/>
      <protection locked="0"/>
    </xf>
    <xf numFmtId="0" fontId="47" fillId="7" borderId="81" xfId="41" applyFont="1" applyFill="1" applyBorder="1" applyAlignment="1" applyProtection="1">
      <alignment horizontal="center" vertical="center" wrapText="1"/>
      <protection locked="0"/>
    </xf>
    <xf numFmtId="0" fontId="47" fillId="7" borderId="86" xfId="41" applyFont="1" applyFill="1" applyBorder="1" applyAlignment="1" applyProtection="1">
      <alignment horizontal="left" vertical="top" wrapText="1"/>
      <protection locked="0"/>
    </xf>
    <xf numFmtId="0" fontId="47" fillId="7" borderId="7" xfId="41" applyFont="1" applyFill="1" applyBorder="1" applyAlignment="1" applyProtection="1">
      <alignment horizontal="left" vertical="top" wrapText="1"/>
      <protection locked="0"/>
    </xf>
    <xf numFmtId="0" fontId="47" fillId="7" borderId="81" xfId="41" applyFont="1" applyFill="1" applyBorder="1" applyAlignment="1" applyProtection="1">
      <alignment horizontal="left" vertical="top" wrapText="1"/>
      <protection locked="0"/>
    </xf>
    <xf numFmtId="4" fontId="48" fillId="7" borderId="86" xfId="41" applyNumberFormat="1" applyFont="1" applyFill="1" applyBorder="1" applyAlignment="1" applyProtection="1">
      <alignment horizontal="center" vertical="center" wrapText="1"/>
      <protection locked="0"/>
    </xf>
    <xf numFmtId="4" fontId="48" fillId="7" borderId="7" xfId="41" applyNumberFormat="1" applyFont="1" applyFill="1" applyBorder="1" applyAlignment="1" applyProtection="1">
      <alignment horizontal="center" vertical="center" wrapText="1"/>
      <protection locked="0"/>
    </xf>
    <xf numFmtId="4" fontId="48" fillId="7" borderId="81" xfId="41" applyNumberFormat="1" applyFont="1" applyFill="1" applyBorder="1" applyAlignment="1" applyProtection="1">
      <alignment horizontal="center" vertical="center" wrapText="1"/>
      <protection locked="0"/>
    </xf>
    <xf numFmtId="4" fontId="48" fillId="4" borderId="86" xfId="41" applyNumberFormat="1" applyFont="1" applyFill="1" applyBorder="1" applyAlignment="1" applyProtection="1">
      <alignment horizontal="center" vertical="center"/>
      <protection locked="0"/>
    </xf>
    <xf numFmtId="4" fontId="48" fillId="4" borderId="7" xfId="41" applyNumberFormat="1" applyFont="1" applyFill="1" applyBorder="1" applyAlignment="1" applyProtection="1">
      <alignment horizontal="center" vertical="center"/>
      <protection locked="0"/>
    </xf>
    <xf numFmtId="4" fontId="48" fillId="4" borderId="81" xfId="41" applyNumberFormat="1" applyFont="1" applyFill="1" applyBorder="1" applyAlignment="1" applyProtection="1">
      <alignment horizontal="center" vertical="center"/>
      <protection locked="0"/>
    </xf>
    <xf numFmtId="166" fontId="48" fillId="4" borderId="86" xfId="41" applyNumberFormat="1" applyFont="1" applyFill="1" applyBorder="1" applyAlignment="1" applyProtection="1">
      <alignment horizontal="center" vertical="center"/>
      <protection locked="0"/>
    </xf>
    <xf numFmtId="166" fontId="48" fillId="4" borderId="7" xfId="41" applyNumberFormat="1" applyFont="1" applyFill="1" applyBorder="1" applyAlignment="1" applyProtection="1">
      <alignment horizontal="center" vertical="center"/>
      <protection locked="0"/>
    </xf>
    <xf numFmtId="166" fontId="48" fillId="4" borderId="27" xfId="41" applyNumberFormat="1" applyFont="1" applyFill="1" applyBorder="1" applyAlignment="1" applyProtection="1">
      <alignment horizontal="center" vertical="center"/>
      <protection locked="0"/>
    </xf>
    <xf numFmtId="4" fontId="48" fillId="7" borderId="31" xfId="41" applyNumberFormat="1" applyFont="1" applyFill="1" applyBorder="1" applyAlignment="1" applyProtection="1">
      <alignment horizontal="center" vertical="center" wrapText="1"/>
      <protection locked="0"/>
    </xf>
    <xf numFmtId="4" fontId="48" fillId="7" borderId="21" xfId="41" applyNumberFormat="1" applyFont="1" applyFill="1" applyBorder="1" applyAlignment="1" applyProtection="1">
      <alignment horizontal="center" vertical="center" wrapText="1"/>
      <protection locked="0"/>
    </xf>
    <xf numFmtId="4" fontId="48" fillId="7" borderId="30" xfId="41" applyNumberFormat="1" applyFont="1" applyFill="1" applyBorder="1" applyAlignment="1" applyProtection="1">
      <alignment horizontal="center" vertical="center" wrapText="1"/>
      <protection locked="0"/>
    </xf>
    <xf numFmtId="4" fontId="48" fillId="4" borderId="31" xfId="41" applyNumberFormat="1" applyFont="1" applyFill="1" applyBorder="1" applyAlignment="1" applyProtection="1">
      <alignment horizontal="center" vertical="center"/>
      <protection locked="0"/>
    </xf>
    <xf numFmtId="4" fontId="48" fillId="4" borderId="21" xfId="41" applyNumberFormat="1" applyFont="1" applyFill="1" applyBorder="1" applyAlignment="1" applyProtection="1">
      <alignment horizontal="center" vertical="center"/>
      <protection locked="0"/>
    </xf>
    <xf numFmtId="4" fontId="48" fillId="4" borderId="30" xfId="41" applyNumberFormat="1" applyFont="1" applyFill="1" applyBorder="1" applyAlignment="1" applyProtection="1">
      <alignment horizontal="center" vertical="center"/>
      <protection locked="0"/>
    </xf>
    <xf numFmtId="166" fontId="48" fillId="4" borderId="31" xfId="41" applyNumberFormat="1" applyFont="1" applyFill="1" applyBorder="1" applyAlignment="1" applyProtection="1">
      <alignment horizontal="center" vertical="center"/>
      <protection locked="0"/>
    </xf>
    <xf numFmtId="166" fontId="48" fillId="4" borderId="21" xfId="41" applyNumberFormat="1" applyFont="1" applyFill="1" applyBorder="1" applyAlignment="1" applyProtection="1">
      <alignment horizontal="center" vertical="center"/>
      <protection locked="0"/>
    </xf>
    <xf numFmtId="166" fontId="48" fillId="4" borderId="32" xfId="41" applyNumberFormat="1" applyFont="1" applyFill="1" applyBorder="1" applyAlignment="1" applyProtection="1">
      <alignment horizontal="center" vertical="center"/>
      <protection locked="0"/>
    </xf>
    <xf numFmtId="1" fontId="47" fillId="0" borderId="29" xfId="41" applyNumberFormat="1" applyFont="1" applyBorder="1" applyAlignment="1">
      <alignment horizontal="center" vertical="center"/>
    </xf>
    <xf numFmtId="1" fontId="47" fillId="0" borderId="21" xfId="41" applyNumberFormat="1" applyFont="1" applyBorder="1" applyAlignment="1">
      <alignment horizontal="center" vertical="center"/>
    </xf>
    <xf numFmtId="0" fontId="47" fillId="0" borderId="31" xfId="41" applyFont="1" applyFill="1" applyBorder="1" applyAlignment="1" applyProtection="1">
      <alignment horizontal="center" vertical="center"/>
    </xf>
    <xf numFmtId="0" fontId="47" fillId="0" borderId="21" xfId="41" applyFont="1" applyFill="1" applyBorder="1" applyAlignment="1" applyProtection="1">
      <alignment horizontal="center" vertical="center"/>
    </xf>
    <xf numFmtId="0" fontId="47" fillId="0" borderId="30" xfId="41" applyFont="1" applyFill="1" applyBorder="1" applyAlignment="1" applyProtection="1">
      <alignment horizontal="center" vertical="center"/>
    </xf>
    <xf numFmtId="0" fontId="47" fillId="7" borderId="31" xfId="41" applyFont="1" applyFill="1" applyBorder="1" applyAlignment="1" applyProtection="1">
      <alignment horizontal="center" vertical="center" wrapText="1"/>
      <protection locked="0"/>
    </xf>
    <xf numFmtId="0" fontId="47" fillId="7" borderId="21" xfId="41" applyFont="1" applyFill="1" applyBorder="1" applyAlignment="1" applyProtection="1">
      <alignment horizontal="center" vertical="center" wrapText="1"/>
      <protection locked="0"/>
    </xf>
    <xf numFmtId="0" fontId="47" fillId="7" borderId="30" xfId="41" applyFont="1" applyFill="1" applyBorder="1" applyAlignment="1" applyProtection="1">
      <alignment horizontal="center" vertical="center" wrapText="1"/>
      <protection locked="0"/>
    </xf>
    <xf numFmtId="0" fontId="47" fillId="7" borderId="31" xfId="41" applyFont="1" applyFill="1" applyBorder="1" applyAlignment="1" applyProtection="1">
      <alignment horizontal="left" vertical="top" wrapText="1"/>
      <protection locked="0"/>
    </xf>
    <xf numFmtId="0" fontId="47" fillId="7" borderId="21" xfId="41" applyFont="1" applyFill="1" applyBorder="1" applyAlignment="1" applyProtection="1">
      <alignment horizontal="left" vertical="top" wrapText="1"/>
      <protection locked="0"/>
    </xf>
    <xf numFmtId="0" fontId="47" fillId="7" borderId="30" xfId="41" applyFont="1" applyFill="1" applyBorder="1" applyAlignment="1" applyProtection="1">
      <alignment horizontal="left" vertical="top" wrapText="1"/>
      <protection locked="0"/>
    </xf>
    <xf numFmtId="14" fontId="22" fillId="10" borderId="16" xfId="41" applyNumberFormat="1" applyFont="1" applyFill="1" applyBorder="1" applyAlignment="1">
      <alignment horizontal="center" vertical="center" wrapText="1" shrinkToFit="1"/>
    </xf>
    <xf numFmtId="14" fontId="22" fillId="10" borderId="17" xfId="41" applyNumberFormat="1" applyFont="1" applyFill="1" applyBorder="1" applyAlignment="1">
      <alignment horizontal="center" vertical="center" wrapText="1" shrinkToFit="1"/>
    </xf>
    <xf numFmtId="14" fontId="22" fillId="10" borderId="53" xfId="41" applyNumberFormat="1" applyFont="1" applyFill="1" applyBorder="1" applyAlignment="1">
      <alignment horizontal="center" vertical="center" wrapText="1" shrinkToFit="1"/>
    </xf>
    <xf numFmtId="14" fontId="22" fillId="10" borderId="51" xfId="41" applyNumberFormat="1" applyFont="1" applyFill="1" applyBorder="1" applyAlignment="1">
      <alignment horizontal="center" vertical="center" wrapText="1" shrinkToFit="1"/>
    </xf>
    <xf numFmtId="14" fontId="22" fillId="10" borderId="18" xfId="41" applyNumberFormat="1" applyFont="1" applyFill="1" applyBorder="1" applyAlignment="1">
      <alignment horizontal="center" vertical="center" wrapText="1" shrinkToFit="1"/>
    </xf>
    <xf numFmtId="0" fontId="54" fillId="2" borderId="16" xfId="41" applyFont="1" applyFill="1" applyBorder="1" applyAlignment="1">
      <alignment horizontal="center" vertical="center" wrapText="1"/>
    </xf>
    <xf numFmtId="0" fontId="54" fillId="2" borderId="17" xfId="41" applyFont="1" applyFill="1" applyBorder="1" applyAlignment="1">
      <alignment horizontal="center" vertical="center" wrapText="1"/>
    </xf>
    <xf numFmtId="166" fontId="23" fillId="2" borderId="53" xfId="41" applyNumberFormat="1" applyFont="1" applyFill="1" applyBorder="1" applyAlignment="1">
      <alignment horizontal="center" vertical="center" wrapText="1"/>
    </xf>
    <xf numFmtId="166" fontId="23" fillId="2" borderId="17" xfId="41" applyNumberFormat="1" applyFont="1" applyFill="1" applyBorder="1" applyAlignment="1">
      <alignment horizontal="center" vertical="center" wrapText="1"/>
    </xf>
    <xf numFmtId="166" fontId="23" fillId="2" borderId="18" xfId="41" applyNumberFormat="1" applyFont="1" applyFill="1" applyBorder="1" applyAlignment="1">
      <alignment horizontal="center" vertical="center" wrapText="1"/>
    </xf>
    <xf numFmtId="0" fontId="53" fillId="0" borderId="26" xfId="41" applyFont="1" applyBorder="1" applyAlignment="1">
      <alignment horizontal="center" vertical="center" wrapText="1"/>
    </xf>
    <xf numFmtId="0" fontId="53" fillId="0" borderId="7" xfId="41" applyFont="1" applyBorder="1" applyAlignment="1">
      <alignment horizontal="center" vertical="center" wrapText="1"/>
    </xf>
    <xf numFmtId="0" fontId="53" fillId="0" borderId="27" xfId="41" applyFont="1" applyBorder="1" applyAlignment="1">
      <alignment horizontal="center" vertical="center" wrapText="1"/>
    </xf>
    <xf numFmtId="0" fontId="47" fillId="0" borderId="26" xfId="43" applyFill="1" applyBorder="1" applyAlignment="1">
      <alignment horizontal="left" vertical="center" wrapText="1" shrinkToFit="1"/>
    </xf>
    <xf numFmtId="0" fontId="47" fillId="0" borderId="7" xfId="43" applyFill="1" applyBorder="1" applyAlignment="1">
      <alignment horizontal="left" vertical="center" wrapText="1" shrinkToFit="1"/>
    </xf>
    <xf numFmtId="0" fontId="47" fillId="0" borderId="81" xfId="43" applyFill="1" applyBorder="1" applyAlignment="1">
      <alignment horizontal="left" vertical="center" wrapText="1" shrinkToFit="1"/>
    </xf>
    <xf numFmtId="0" fontId="47" fillId="0" borderId="86" xfId="43" applyFill="1" applyBorder="1" applyAlignment="1">
      <alignment horizontal="right" vertical="center" wrapText="1" shrinkToFit="1"/>
    </xf>
    <xf numFmtId="0" fontId="47" fillId="0" borderId="7" xfId="43" applyFill="1" applyBorder="1" applyAlignment="1">
      <alignment horizontal="right" vertical="center" wrapText="1" shrinkToFit="1"/>
    </xf>
    <xf numFmtId="0" fontId="47" fillId="0" borderId="81" xfId="43" applyFill="1" applyBorder="1" applyAlignment="1">
      <alignment horizontal="right" vertical="center" wrapText="1" shrinkToFit="1"/>
    </xf>
    <xf numFmtId="172" fontId="47" fillId="7" borderId="86" xfId="43" applyNumberFormat="1" applyFill="1" applyBorder="1" applyAlignment="1" applyProtection="1">
      <alignment horizontal="center" vertical="center" wrapText="1" shrinkToFit="1"/>
      <protection locked="0"/>
    </xf>
    <xf numFmtId="172" fontId="47" fillId="7" borderId="7" xfId="43" applyNumberFormat="1" applyFill="1" applyBorder="1" applyAlignment="1" applyProtection="1">
      <alignment horizontal="center" vertical="center" wrapText="1" shrinkToFit="1"/>
      <protection locked="0"/>
    </xf>
    <xf numFmtId="172" fontId="47" fillId="7" borderId="27" xfId="43" applyNumberFormat="1" applyFill="1" applyBorder="1" applyAlignment="1" applyProtection="1">
      <alignment horizontal="center" vertical="center" wrapText="1" shrinkToFit="1"/>
      <protection locked="0"/>
    </xf>
    <xf numFmtId="0" fontId="47" fillId="7" borderId="31" xfId="44" applyBorder="1" applyAlignment="1">
      <alignment horizontal="left" vertical="center" wrapText="1" shrinkToFit="1"/>
      <protection locked="0"/>
    </xf>
    <xf numFmtId="0" fontId="47" fillId="7" borderId="21" xfId="44" applyBorder="1" applyAlignment="1">
      <alignment horizontal="left" vertical="center" wrapText="1" shrinkToFit="1"/>
      <protection locked="0"/>
    </xf>
    <xf numFmtId="0" fontId="47" fillId="7" borderId="30" xfId="44" applyBorder="1" applyAlignment="1">
      <alignment horizontal="left" vertical="center" wrapText="1" shrinkToFit="1"/>
      <protection locked="0"/>
    </xf>
    <xf numFmtId="0" fontId="47" fillId="0" borderId="86" xfId="633" applyFill="1" applyBorder="1" applyAlignment="1">
      <alignment horizontal="center" vertical="center"/>
      <protection locked="0"/>
    </xf>
    <xf numFmtId="0" fontId="47" fillId="0" borderId="27" xfId="633" applyFill="1" applyBorder="1" applyAlignment="1">
      <alignment horizontal="center" vertical="center"/>
      <protection locked="0"/>
    </xf>
    <xf numFmtId="0" fontId="91" fillId="0" borderId="15" xfId="643" applyFont="1" applyBorder="1" applyAlignment="1">
      <alignment horizontal="center" vertical="center"/>
    </xf>
    <xf numFmtId="0" fontId="91" fillId="0" borderId="54" xfId="643" applyFont="1" applyBorder="1" applyAlignment="1">
      <alignment horizontal="center" vertical="center"/>
    </xf>
    <xf numFmtId="166" fontId="23" fillId="0" borderId="87" xfId="643" applyNumberFormat="1" applyFont="1" applyBorder="1" applyAlignment="1">
      <alignment horizontal="center" vertical="center"/>
    </xf>
    <xf numFmtId="166" fontId="23" fillId="0" borderId="77" xfId="643" applyNumberFormat="1" applyFont="1" applyBorder="1" applyAlignment="1">
      <alignment horizontal="center" vertical="center"/>
    </xf>
    <xf numFmtId="0" fontId="22" fillId="3" borderId="22" xfId="643" applyFont="1" applyFill="1" applyBorder="1" applyAlignment="1">
      <alignment horizontal="left" vertical="center"/>
    </xf>
    <xf numFmtId="0" fontId="22" fillId="3" borderId="23" xfId="643" applyFont="1" applyFill="1" applyBorder="1" applyAlignment="1">
      <alignment horizontal="left" vertical="center"/>
    </xf>
    <xf numFmtId="0" fontId="22" fillId="3" borderId="24" xfId="643" applyFont="1" applyFill="1" applyBorder="1" applyAlignment="1">
      <alignment horizontal="left" vertical="center"/>
    </xf>
    <xf numFmtId="0" fontId="21" fillId="13" borderId="26" xfId="639" applyFont="1" applyFill="1" applyBorder="1" applyAlignment="1">
      <alignment horizontal="left" vertical="center" wrapText="1"/>
    </xf>
    <xf numFmtId="0" fontId="21" fillId="13" borderId="7" xfId="639" applyFont="1" applyFill="1" applyBorder="1" applyAlignment="1">
      <alignment horizontal="left" vertical="center" wrapText="1"/>
    </xf>
    <xf numFmtId="0" fontId="21" fillId="13" borderId="81" xfId="639" applyFont="1" applyFill="1" applyBorder="1" applyAlignment="1">
      <alignment horizontal="left" vertical="center" wrapText="1"/>
    </xf>
    <xf numFmtId="0" fontId="47" fillId="0" borderId="38" xfId="44" applyFill="1" applyBorder="1" applyAlignment="1">
      <alignment horizontal="center" vertical="center" wrapText="1"/>
      <protection locked="0"/>
    </xf>
    <xf numFmtId="0" fontId="47" fillId="0" borderId="12" xfId="44" applyFill="1" applyBorder="1" applyAlignment="1">
      <alignment horizontal="center" vertical="center" wrapText="1"/>
      <protection locked="0"/>
    </xf>
    <xf numFmtId="0" fontId="47" fillId="0" borderId="84" xfId="44" applyFill="1" applyBorder="1" applyAlignment="1">
      <alignment horizontal="center" vertical="center" wrapText="1"/>
      <protection locked="0"/>
    </xf>
    <xf numFmtId="0" fontId="47" fillId="0" borderId="85" xfId="44" applyFill="1" applyBorder="1" applyAlignment="1">
      <alignment horizontal="center" vertical="center" wrapText="1"/>
      <protection locked="0"/>
    </xf>
    <xf numFmtId="0" fontId="22" fillId="3" borderId="14" xfId="643" applyFont="1" applyFill="1" applyBorder="1" applyAlignment="1">
      <alignment horizontal="left" vertical="center"/>
    </xf>
    <xf numFmtId="0" fontId="22" fillId="3" borderId="0" xfId="643" applyFont="1" applyFill="1" applyBorder="1" applyAlignment="1">
      <alignment horizontal="left" vertical="center"/>
    </xf>
    <xf numFmtId="0" fontId="22" fillId="3" borderId="25" xfId="643" applyFont="1" applyFill="1" applyBorder="1" applyAlignment="1">
      <alignment horizontal="left" vertical="center"/>
    </xf>
    <xf numFmtId="0" fontId="21" fillId="13" borderId="81" xfId="40" quotePrefix="1" applyFont="1" applyFill="1" applyBorder="1" applyAlignment="1">
      <alignment horizontal="left" vertical="top" wrapText="1"/>
    </xf>
    <xf numFmtId="0" fontId="47" fillId="13" borderId="81" xfId="632" applyFill="1" applyBorder="1" applyAlignment="1">
      <alignment horizontal="left" vertical="center" wrapText="1"/>
    </xf>
    <xf numFmtId="0" fontId="47" fillId="0" borderId="81" xfId="632" applyFill="1" applyBorder="1" applyAlignment="1">
      <alignment horizontal="right" vertical="center" wrapText="1"/>
    </xf>
    <xf numFmtId="0" fontId="47" fillId="39" borderId="81" xfId="640" applyFill="1" applyBorder="1" applyAlignment="1">
      <alignment horizontal="left" vertical="center" wrapText="1"/>
    </xf>
    <xf numFmtId="0" fontId="21" fillId="13" borderId="81" xfId="46" quotePrefix="1" applyFont="1" applyFill="1" applyBorder="1" applyAlignment="1">
      <alignment horizontal="left" vertical="top" wrapText="1"/>
    </xf>
    <xf numFmtId="0" fontId="47" fillId="0" borderId="81" xfId="46" applyFont="1" applyBorder="1" applyAlignment="1">
      <alignment horizontal="right" vertical="top"/>
    </xf>
    <xf numFmtId="0" fontId="47" fillId="0" borderId="27" xfId="44" applyFill="1" applyBorder="1" applyAlignment="1">
      <alignment horizontal="center" vertical="center" wrapText="1"/>
      <protection locked="0"/>
    </xf>
    <xf numFmtId="0" fontId="21" fillId="13" borderId="26" xfId="11" quotePrefix="1" applyFont="1" applyFill="1" applyBorder="1" applyAlignment="1">
      <alignment horizontal="left" vertical="center" wrapText="1"/>
    </xf>
    <xf numFmtId="0" fontId="21" fillId="13" borderId="7" xfId="11" quotePrefix="1" applyFont="1" applyFill="1" applyBorder="1" applyAlignment="1">
      <alignment horizontal="left" vertical="center" wrapText="1"/>
    </xf>
    <xf numFmtId="0" fontId="21" fillId="13" borderId="81" xfId="11" quotePrefix="1" applyFont="1" applyFill="1" applyBorder="1" applyAlignment="1">
      <alignment horizontal="left" vertical="center" wrapText="1"/>
    </xf>
    <xf numFmtId="0" fontId="47" fillId="13" borderId="84" xfId="632" applyFont="1" applyFill="1" applyBorder="1" applyAlignment="1">
      <alignment horizontal="left" vertical="center" wrapText="1"/>
    </xf>
    <xf numFmtId="0" fontId="47" fillId="0" borderId="81" xfId="11" applyFont="1" applyBorder="1" applyAlignment="1">
      <alignment horizontal="right" vertical="center"/>
    </xf>
    <xf numFmtId="0" fontId="21" fillId="13" borderId="13" xfId="0" quotePrefix="1" applyFont="1" applyFill="1" applyBorder="1" applyAlignment="1">
      <alignment horizontal="left" vertical="center" wrapText="1"/>
    </xf>
    <xf numFmtId="0" fontId="21" fillId="13" borderId="84" xfId="0" quotePrefix="1" applyFont="1" applyFill="1" applyBorder="1" applyAlignment="1">
      <alignment horizontal="left" vertical="center" wrapText="1"/>
    </xf>
    <xf numFmtId="0" fontId="47" fillId="0" borderId="84" xfId="46" applyFont="1" applyBorder="1" applyAlignment="1">
      <alignment horizontal="right" vertical="center"/>
    </xf>
    <xf numFmtId="0" fontId="21" fillId="13" borderId="35" xfId="46" quotePrefix="1" applyFont="1" applyFill="1" applyBorder="1" applyAlignment="1">
      <alignment horizontal="left" vertical="center" wrapText="1"/>
    </xf>
    <xf numFmtId="0" fontId="21" fillId="13" borderId="38" xfId="46" quotePrefix="1" applyFont="1" applyFill="1" applyBorder="1" applyAlignment="1">
      <alignment horizontal="left" vertical="center" wrapText="1"/>
    </xf>
    <xf numFmtId="0" fontId="21" fillId="13" borderId="36" xfId="46" quotePrefix="1" applyFont="1" applyFill="1" applyBorder="1" applyAlignment="1">
      <alignment horizontal="left" vertical="center" wrapText="1"/>
    </xf>
    <xf numFmtId="0" fontId="21" fillId="13" borderId="11" xfId="46" quotePrefix="1" applyFont="1" applyFill="1" applyBorder="1" applyAlignment="1">
      <alignment horizontal="left" vertical="center" wrapText="1"/>
    </xf>
    <xf numFmtId="0" fontId="21" fillId="13" borderId="56" xfId="46" quotePrefix="1" applyFont="1" applyFill="1" applyBorder="1" applyAlignment="1">
      <alignment horizontal="left" vertical="center" wrapText="1"/>
    </xf>
    <xf numFmtId="0" fontId="21" fillId="13" borderId="36" xfId="40" quotePrefix="1" applyFont="1" applyFill="1" applyBorder="1" applyAlignment="1">
      <alignment horizontal="left" vertical="center" wrapText="1"/>
    </xf>
    <xf numFmtId="0" fontId="21" fillId="13" borderId="11" xfId="40" quotePrefix="1" applyFont="1" applyFill="1" applyBorder="1" applyAlignment="1">
      <alignment horizontal="left" vertical="center" wrapText="1"/>
    </xf>
    <xf numFmtId="0" fontId="21" fillId="13" borderId="56" xfId="40" quotePrefix="1" applyFont="1" applyFill="1" applyBorder="1" applyAlignment="1">
      <alignment horizontal="left" vertical="center" wrapText="1"/>
    </xf>
    <xf numFmtId="0" fontId="47" fillId="0" borderId="36" xfId="46" applyFont="1" applyBorder="1" applyAlignment="1">
      <alignment horizontal="right" vertical="center"/>
    </xf>
    <xf numFmtId="0" fontId="47" fillId="0" borderId="11" xfId="46" applyFont="1" applyBorder="1" applyAlignment="1">
      <alignment horizontal="right" vertical="center"/>
    </xf>
    <xf numFmtId="0" fontId="47" fillId="0" borderId="56" xfId="46" applyFont="1" applyBorder="1" applyAlignment="1">
      <alignment horizontal="right" vertical="center"/>
    </xf>
    <xf numFmtId="0" fontId="21" fillId="39" borderId="81" xfId="639" applyFont="1" applyFill="1" applyBorder="1" applyAlignment="1">
      <alignment horizontal="left" vertical="center" wrapText="1"/>
    </xf>
    <xf numFmtId="0" fontId="61" fillId="0" borderId="15" xfId="643" applyFont="1" applyBorder="1" applyAlignment="1">
      <alignment horizontal="center" vertical="center" wrapText="1"/>
    </xf>
    <xf numFmtId="0" fontId="61" fillId="0" borderId="54" xfId="643" applyFont="1" applyBorder="1" applyAlignment="1">
      <alignment horizontal="center" vertical="center" wrapText="1"/>
    </xf>
    <xf numFmtId="0" fontId="61" fillId="0" borderId="77" xfId="643" applyFont="1" applyBorder="1" applyAlignment="1">
      <alignment horizontal="center" vertical="center" wrapText="1"/>
    </xf>
  </cellXfs>
  <cellStyles count="644">
    <cellStyle name="01 TEXT 2" xfId="44" xr:uid="{00000000-0005-0000-0000-000000000000}"/>
    <cellStyle name="01 TEXT 2 2" xfId="51" xr:uid="{46F26D9A-7D7F-47C5-9592-CE6A94BC6EDC}"/>
    <cellStyle name="01 TEXT 2 2 2" xfId="633" xr:uid="{EF9A5B81-C0D6-4FC9-85C2-FC117C0901F8}"/>
    <cellStyle name="02 Prompt 2 2" xfId="642" xr:uid="{6260F526-B406-4A03-95A0-B283A8E8A5C6}"/>
    <cellStyle name="02 Prompt 2 3" xfId="43" xr:uid="{00000000-0005-0000-0000-000001000000}"/>
    <cellStyle name="02 Prompt 2 3 2" xfId="52" xr:uid="{B6DF04F8-3D9A-4B46-B224-8E4F2B6510B0}"/>
    <cellStyle name="02 Prompt 2 3 2 2" xfId="632" xr:uid="{60132830-7869-4F00-904E-AB6C3B6F6F4F}"/>
    <cellStyle name="02 Prompt 2 3 2 3" xfId="640" xr:uid="{F6474DBA-F2FA-48E3-B087-58764E2F6942}"/>
    <cellStyle name="02 Prompt TITLE 2" xfId="54" xr:uid="{2DBA7EF7-FBF2-4DFD-8D71-A698B076ED89}"/>
    <cellStyle name="02 Prompt TITLE 2 2" xfId="641" xr:uid="{8D4FAD38-4BD5-4987-9D30-CA5F97B6EF50}"/>
    <cellStyle name="02 Prompt TITLE 2 3" xfId="631" xr:uid="{44D8E161-F5C0-47DC-957B-BABB61812DE8}"/>
    <cellStyle name="02 Prompt TITLE 2 3 2" xfId="639" xr:uid="{D816CCF6-9506-4C80-A18E-C3F7E995FE7A}"/>
    <cellStyle name="03 Notes 2 2" xfId="635" xr:uid="{65BE7B88-787B-48BB-99D8-559CD6551830}"/>
    <cellStyle name="05 Warning Text 2" xfId="637" xr:uid="{2242E66D-7CB9-4247-94A0-D7B86C360C0C}"/>
    <cellStyle name="20% - Accent1 2" xfId="110" xr:uid="{FC03B238-0544-4EFF-8A2F-8CA91BE5DF6B}"/>
    <cellStyle name="20% - Accent1 2 2" xfId="69" xr:uid="{6962AA6E-C1B5-4D96-A192-5940F8C3F478}"/>
    <cellStyle name="20% - Accent1 2 2 2" xfId="111" xr:uid="{E377876A-9DBE-4812-B9DE-9A3731DB6F05}"/>
    <cellStyle name="20% - Accent1 2 3" xfId="103" xr:uid="{CDE16518-33D4-4CBF-9764-22584A627D32}"/>
    <cellStyle name="20% - Accent1 3" xfId="113" xr:uid="{598CC5DC-3572-4341-AF61-C0B87BD794C4}"/>
    <cellStyle name="20% - Accent1 3 2" xfId="114" xr:uid="{8BD0376E-1A22-4379-BBCE-5C55CF454A05}"/>
    <cellStyle name="20% - Accent1 4" xfId="60" xr:uid="{112343AB-B15E-45BB-8601-56C81CBFD4C7}"/>
    <cellStyle name="20% - Accent2 2" xfId="116" xr:uid="{24C5A3FD-1145-43FA-A4B7-96889976C7DF}"/>
    <cellStyle name="20% - Accent2 2 2" xfId="118" xr:uid="{A717EC3C-7B35-48FD-BB8A-C9559D9BCD60}"/>
    <cellStyle name="20% - Accent2 2 2 2" xfId="106" xr:uid="{21CAB3EC-E8A1-47BF-8C18-D6D85EABE3F9}"/>
    <cellStyle name="20% - Accent2 2 3" xfId="119" xr:uid="{4B7819CB-DEF3-47F2-859D-09710E87AD60}"/>
    <cellStyle name="20% - Accent2 3" xfId="94" xr:uid="{8B9F0EF3-F4B3-460F-956E-C993B08D950F}"/>
    <cellStyle name="20% - Accent2 3 2" xfId="121" xr:uid="{AFDE89A8-D676-47D4-BAA5-7902BF4C3A71}"/>
    <cellStyle name="20% - Accent2 4" xfId="97" xr:uid="{FAB603FE-E612-46C2-86D1-0C97AA34DFE0}"/>
    <cellStyle name="20% - Accent3 2" xfId="75" xr:uid="{271B4DCB-D48C-4763-828E-9994F7D35C4F}"/>
    <cellStyle name="20% - Accent3 2 2" xfId="81" xr:uid="{467FE0AD-E3A3-4F07-B7E8-CB6691BB707C}"/>
    <cellStyle name="20% - Accent3 2 2 2" xfId="125" xr:uid="{BDFACF38-B0CE-437F-B2AA-8B94ADEF172F}"/>
    <cellStyle name="20% - Accent3 2 3" xfId="127" xr:uid="{899C0BB6-2E9F-4B91-8B7D-8BFB0F206620}"/>
    <cellStyle name="20% - Accent3 3" xfId="77" xr:uid="{90B26385-F4A7-4189-981B-56990CF66063}"/>
    <cellStyle name="20% - Accent3 3 2" xfId="129" xr:uid="{A2DDA333-434D-424A-B808-6427CB427DF0}"/>
    <cellStyle name="20% - Accent3 4" xfId="133" xr:uid="{DC2AC4FC-3A1F-4211-8402-F331FBD624C8}"/>
    <cellStyle name="20% - Accent4 2" xfId="135" xr:uid="{B864D73F-B9BE-4809-A4C7-549642395A4F}"/>
    <cellStyle name="20% - Accent4 2 2" xfId="136" xr:uid="{7F525018-E64C-4C4C-A57F-CD9EC2225744}"/>
    <cellStyle name="20% - Accent4 2 2 2" xfId="137" xr:uid="{70C0B8BF-9C6A-43C0-8441-743B50D34BA9}"/>
    <cellStyle name="20% - Accent4 2 3" xfId="138" xr:uid="{BFF97E38-8DAB-4199-980E-9A5DF719E298}"/>
    <cellStyle name="20% - Accent4 3" xfId="139" xr:uid="{B25F719E-9A42-45E7-B191-9C8FD6F0B085}"/>
    <cellStyle name="20% - Accent4 3 2" xfId="140" xr:uid="{F0DF9254-9A6B-4CBF-A230-78A2E5FBBBCA}"/>
    <cellStyle name="20% - Accent4 4" xfId="141" xr:uid="{30055D4D-8873-40C1-9916-A11DC2C409E7}"/>
    <cellStyle name="20% - Accent5 2" xfId="142" xr:uid="{1CABE1C1-D918-4971-9119-1327A25E7D72}"/>
    <cellStyle name="20% - Accent5 2 2" xfId="143" xr:uid="{62061828-28E5-4A17-903B-C93F2DA938A4}"/>
    <cellStyle name="20% - Accent5 2 2 2" xfId="144" xr:uid="{5F66ADAC-E618-42C4-9E2B-493AD3F0C32B}"/>
    <cellStyle name="20% - Accent5 2 3" xfId="145" xr:uid="{C47F6711-65B0-44EB-A709-4F44D46E179A}"/>
    <cellStyle name="20% - Accent5 3" xfId="147" xr:uid="{4D62174F-8F45-4931-8528-D5419612E516}"/>
    <cellStyle name="20% - Accent5 3 2" xfId="99" xr:uid="{C3BB75FB-30AA-4497-85F5-E29FC89361C4}"/>
    <cellStyle name="20% - Accent5 4" xfId="148" xr:uid="{CDA59A37-ADD1-4DA9-8EF5-FE5B95E78F92}"/>
    <cellStyle name="20% - Accent6 2" xfId="149" xr:uid="{09184EE8-5F7B-4B45-9D42-85C00640943C}"/>
    <cellStyle name="20% - Accent6 2 2" xfId="150" xr:uid="{ADE956B2-8752-40F2-92F6-2208863C0338}"/>
    <cellStyle name="20% - Accent6 2 2 2" xfId="151" xr:uid="{62BB8EB2-E32B-4125-8A1C-91F1AE8D4658}"/>
    <cellStyle name="20% - Accent6 2 3" xfId="154" xr:uid="{828BF524-C6DE-4429-9AFD-DAD8E5446228}"/>
    <cellStyle name="20% - Accent6 3" xfId="91" xr:uid="{2AF37460-E864-4A97-9FC3-1C29D705417C}"/>
    <cellStyle name="20% - Accent6 3 2" xfId="155" xr:uid="{F50BDD2A-46C4-42AC-B5A1-941EA66EBF8B}"/>
    <cellStyle name="20% - Accent6 4" xfId="158" xr:uid="{490B3C41-6A4D-4FF5-A561-9BDB5BF2DE82}"/>
    <cellStyle name="40% - Accent1 2" xfId="159" xr:uid="{89D64B4C-BBCB-4910-AC2D-DB4AC203C889}"/>
    <cellStyle name="40% - Accent1 2 2" xfId="160" xr:uid="{E9AEF97E-B3B3-4C66-A86D-537E7A9F1E85}"/>
    <cellStyle name="40% - Accent1 2 2 2" xfId="161" xr:uid="{1BA75D9A-2E48-4ABE-8EEA-595F7BEB9E3E}"/>
    <cellStyle name="40% - Accent1 2 3" xfId="163" xr:uid="{D1830C16-185F-43D3-ACC3-06E59872882C}"/>
    <cellStyle name="40% - Accent1 3" xfId="164" xr:uid="{F40E36C5-7C20-4167-BB60-D435451F77A2}"/>
    <cellStyle name="40% - Accent1 3 2" xfId="166" xr:uid="{5C2B7F6F-1EA0-4CC9-9A2B-1EE0A5931A26}"/>
    <cellStyle name="40% - Accent1 4" xfId="122" xr:uid="{E3B942CA-BBAC-41DA-BF5C-4359D21F12A0}"/>
    <cellStyle name="40% - Accent2 2" xfId="167" xr:uid="{10004A29-0E69-4790-AA28-90F2E39B938E}"/>
    <cellStyle name="40% - Accent2 2 2" xfId="169" xr:uid="{5D7FE811-A80B-48FE-9D68-5359C153B3C0}"/>
    <cellStyle name="40% - Accent2 2 2 2" xfId="172" xr:uid="{2B178AF2-063E-432A-ADE8-C2F9AC6AA39E}"/>
    <cellStyle name="40% - Accent2 2 3" xfId="175" xr:uid="{0DD27BDC-93F4-449D-9954-B02364AD8662}"/>
    <cellStyle name="40% - Accent2 3" xfId="176" xr:uid="{429BC36B-3E35-498C-9252-A734ABBCA991}"/>
    <cellStyle name="40% - Accent2 3 2" xfId="177" xr:uid="{3589E350-3265-428E-ACA5-AE2A12734359}"/>
    <cellStyle name="40% - Accent2 4" xfId="179" xr:uid="{8C8D9CDA-5AC6-48BC-9B9D-9CFA4A5CA86E}"/>
    <cellStyle name="40% - Accent3 2" xfId="180" xr:uid="{2F0823EE-51D3-4A07-9448-7CDEB869CAE2}"/>
    <cellStyle name="40% - Accent3 2 2" xfId="181" xr:uid="{9C2B5AFC-CC4F-4E50-A6B5-A827F55063C4}"/>
    <cellStyle name="40% - Accent3 2 2 2" xfId="183" xr:uid="{664F0557-B78B-40DC-A128-F3D3637F4E4F}"/>
    <cellStyle name="40% - Accent3 2 3" xfId="184" xr:uid="{37744D3D-07D3-428C-9539-6575B0BB6566}"/>
    <cellStyle name="40% - Accent3 3" xfId="185" xr:uid="{E625B09F-BCCB-4F41-991B-38FFEA967416}"/>
    <cellStyle name="40% - Accent3 3 2" xfId="186" xr:uid="{1A99AE9B-8381-4641-8282-7ABD44C7E971}"/>
    <cellStyle name="40% - Accent3 4" xfId="188" xr:uid="{9EB58A1A-D5E9-4E8D-8DDE-E47FFE36B3C8}"/>
    <cellStyle name="40% - Accent4 2" xfId="190" xr:uid="{40CD96AC-ADA8-4EC5-982F-D6F9D97503BA}"/>
    <cellStyle name="40% - Accent4 2 2" xfId="193" xr:uid="{0B620C37-FC5B-4FF7-81C9-418AA4CB69CB}"/>
    <cellStyle name="40% - Accent4 2 2 2" xfId="195" xr:uid="{C3D033A5-C828-4EF5-9AE6-F25862A7E6CF}"/>
    <cellStyle name="40% - Accent4 2 3" xfId="196" xr:uid="{2BD808F6-C97B-4CD1-B292-B5CB128027BA}"/>
    <cellStyle name="40% - Accent4 3" xfId="199" xr:uid="{CE32D86C-51A4-493D-B000-74A242725EC8}"/>
    <cellStyle name="40% - Accent4 3 2" xfId="201" xr:uid="{27D19ADE-D780-475E-81BD-F46D277B3DDB}"/>
    <cellStyle name="40% - Accent4 4" xfId="192" xr:uid="{D928185F-EB52-44ED-AB00-CCE92D1708E8}"/>
    <cellStyle name="40% - Accent5 2" xfId="203" xr:uid="{C850F069-04A6-4488-83FA-B71CB4788352}"/>
    <cellStyle name="40% - Accent5 2 2" xfId="204" xr:uid="{C9FA1774-43C4-4742-A751-B8E1D154024A}"/>
    <cellStyle name="40% - Accent5 2 2 2" xfId="208" xr:uid="{A442B585-70AF-4AA5-95F0-8C391A3BC954}"/>
    <cellStyle name="40% - Accent5 2 3" xfId="209" xr:uid="{03882BFC-784D-4589-99D9-CAF721BAFFF2}"/>
    <cellStyle name="40% - Accent5 3" xfId="213" xr:uid="{2E9B3BD8-F446-4984-AE62-05784C2A7903}"/>
    <cellStyle name="40% - Accent5 3 2" xfId="214" xr:uid="{94E5D9B8-D41D-4AAD-B29B-EDD541C13B92}"/>
    <cellStyle name="40% - Accent5 4" xfId="200" xr:uid="{73F891B0-500B-4211-8CF5-78FCEE615CA6}"/>
    <cellStyle name="40% - Accent6 2" xfId="215" xr:uid="{FE0B1438-78C0-4D2F-9602-6813DE04B238}"/>
    <cellStyle name="40% - Accent6 2 2" xfId="216" xr:uid="{6088C92C-F6FC-4571-B202-7E96868ACD58}"/>
    <cellStyle name="40% - Accent6 2 2 2" xfId="218" xr:uid="{B706CA6D-44C4-4AEC-8A24-92844407BE85}"/>
    <cellStyle name="40% - Accent6 2 3" xfId="219" xr:uid="{DE365D03-4EEF-4E2C-8748-15AD67C44A68}"/>
    <cellStyle name="40% - Accent6 3" xfId="221" xr:uid="{49B784E0-3FAD-4F13-ADF6-254D883DE650}"/>
    <cellStyle name="40% - Accent6 3 2" xfId="95" xr:uid="{70054BFB-69AC-405F-904D-98BC642FCCF9}"/>
    <cellStyle name="40% - Accent6 4" xfId="194" xr:uid="{096C52E0-80E8-4B66-B449-D97AF5B9F7FB}"/>
    <cellStyle name="60% - Accent1 2" xfId="223" xr:uid="{6003E33A-B5DC-421F-BD5B-956D3F5FFBEE}"/>
    <cellStyle name="60% - Accent3 2" xfId="90" xr:uid="{486B4C19-1B57-4FF6-8089-B4AAC4A46C2A}"/>
    <cellStyle name="60% - Accent4 2" xfId="225" xr:uid="{2269EDB7-2AF4-474A-8D6F-569A36184A44}"/>
    <cellStyle name="60% - Accent6 2" xfId="226" xr:uid="{B3787D6A-40BB-4789-B9AF-81378428A73B}"/>
    <cellStyle name="Accent1 2" xfId="227" xr:uid="{367C7143-A069-4D5F-8B89-820566AA07E6}"/>
    <cellStyle name="Accent2 2" xfId="228" xr:uid="{A7CF8253-574D-45F1-804F-B4843BA5E74C}"/>
    <cellStyle name="Accent3 2" xfId="229" xr:uid="{777E0677-10DD-4008-9CD5-C992E6621FB3}"/>
    <cellStyle name="Accent4 2" xfId="104" xr:uid="{98EFEB81-D65B-43A8-8B21-0E366204A40C}"/>
    <cellStyle name="Bad 2" xfId="231" xr:uid="{14D169E3-98EC-4E8A-84B7-272E267F52B1}"/>
    <cellStyle name="Calculation 2" xfId="152" xr:uid="{2928BD6C-9FA5-404A-AE73-7A808CD16201}"/>
    <cellStyle name="Comma 2" xfId="13" xr:uid="{00000000-0005-0000-0000-000002000000}"/>
    <cellStyle name="Comma 2 2" xfId="235" xr:uid="{5A1E2B7E-F61C-4176-ADAD-AB93BF169660}"/>
    <cellStyle name="Comma 2 3" xfId="607" xr:uid="{65B4D375-3D30-4765-88D1-A03C31FE2309}"/>
    <cellStyle name="Comma 2 4" xfId="232" xr:uid="{DE332D06-D4B3-484B-9735-40AC22E9B25A}"/>
    <cellStyle name="Comma 3" xfId="236" xr:uid="{F47F2BBC-E9DE-4471-A064-8B70D52F0D02}"/>
    <cellStyle name="Comma 4" xfId="238" xr:uid="{8F667302-4194-46F5-82A4-9108416FC809}"/>
    <cellStyle name="Comma 4 2" xfId="239" xr:uid="{7B21ECC0-1F5D-44B7-B30D-87B80435D7EE}"/>
    <cellStyle name="Comma 4 2 2" xfId="240" xr:uid="{7702F06A-DA86-457E-89FA-8260A5B82B7F}"/>
    <cellStyle name="Comma 4 2 2 2" xfId="241" xr:uid="{05E95341-E6B0-4522-B4BD-55AFC9730E1B}"/>
    <cellStyle name="Comma 4 2 2 2 2" xfId="243" xr:uid="{495C606A-91CD-40E7-AF84-FF292C31F02E}"/>
    <cellStyle name="Comma 4 2 2 2 2 2" xfId="244" xr:uid="{D7FC6EC8-7ADE-49D3-BFC4-C5AAFC3DD49A}"/>
    <cellStyle name="Comma 4 2 2 2 3" xfId="245" xr:uid="{6345B63D-3E03-4397-9B8D-D115E647B10B}"/>
    <cellStyle name="Comma 4 2 2 3" xfId="246" xr:uid="{2826A7B8-8A0D-464D-85AD-023724F10DC3}"/>
    <cellStyle name="Comma 4 2 2 3 2" xfId="248" xr:uid="{6D38C413-C17E-47D8-93A1-854A697134F7}"/>
    <cellStyle name="Comma 4 2 2 4" xfId="249" xr:uid="{E3975F06-F2B2-4D0C-8949-A3D76FE71C83}"/>
    <cellStyle name="Comma 4 2 2 5" xfId="165" xr:uid="{F26908FF-689B-48E2-BB6A-BEFA65EB65F1}"/>
    <cellStyle name="Comma 4 2 3" xfId="251" xr:uid="{2DFB8BB7-7263-4DC0-918D-BF411F45486A}"/>
    <cellStyle name="Comma 4 2 3 2" xfId="253" xr:uid="{1B903515-44CA-4F4F-9D84-3E87F0A61E04}"/>
    <cellStyle name="Comma 4 2 3 2 2" xfId="107" xr:uid="{533386D7-2F83-429F-AF5E-758F37F1EFE9}"/>
    <cellStyle name="Comma 4 2 3 3" xfId="254" xr:uid="{9D91154F-2626-4BA2-B9C1-5E41CB5C80B4}"/>
    <cellStyle name="Comma 4 2 4" xfId="207" xr:uid="{4FA17988-FF92-4D96-800F-5524CB25DBBD}"/>
    <cellStyle name="Comma 4 2 4 2" xfId="237" xr:uid="{D10848CC-EE13-4D39-9797-90EF22D98C94}"/>
    <cellStyle name="Comma 4 2 5" xfId="255" xr:uid="{93201B31-3F05-412A-88D9-2B263BD2FAC6}"/>
    <cellStyle name="Comma 4 2 6" xfId="242" xr:uid="{5E48DD4E-72E4-4945-BEF8-C0C3AF9FF024}"/>
    <cellStyle name="Comma 4 3" xfId="171" xr:uid="{A6053D1C-2FF4-4DB4-A687-6FB1A5855B3C}"/>
    <cellStyle name="Comma 4 3 2" xfId="256" xr:uid="{92DDC1CF-EBA3-422E-9C51-4BE0213B926C}"/>
    <cellStyle name="Comma 4 3 2 2" xfId="258" xr:uid="{D6EE3FDF-26A8-446A-A4D5-B118B8FDADD4}"/>
    <cellStyle name="Comma 4 3 2 2 2" xfId="146" xr:uid="{86C75ACF-C739-4441-A8A7-6D6ADAAFBDBF}"/>
    <cellStyle name="Comma 4 3 2 3" xfId="259" xr:uid="{3C7E0572-9109-4ABB-A7D4-64A6C5442914}"/>
    <cellStyle name="Comma 4 3 3" xfId="261" xr:uid="{6BE8E14B-09B6-49D5-8F4C-FD5361A5C34D}"/>
    <cellStyle name="Comma 4 3 3 2" xfId="263" xr:uid="{DC3FD6FE-BFAA-4BE3-A1C9-A42E91FDAE7B}"/>
    <cellStyle name="Comma 4 3 4" xfId="265" xr:uid="{AF01554E-1F6D-4E1D-9C0F-D346E24FC98B}"/>
    <cellStyle name="Comma 4 3 5" xfId="269" xr:uid="{95DAD7F2-F898-467A-916E-4F855F66FFCC}"/>
    <cellStyle name="Comma 4 4" xfId="273" xr:uid="{8FD72AA3-AEB1-4081-B4EF-334B1DE17492}"/>
    <cellStyle name="Comma 4 4 2" xfId="274" xr:uid="{ABBBAE3C-1148-499E-8734-454651ABC678}"/>
    <cellStyle name="Comma 4 4 2 2" xfId="276" xr:uid="{290D89B5-4470-4906-98B4-E69AC9FF38AC}"/>
    <cellStyle name="Comma 4 4 3" xfId="278" xr:uid="{A8157532-0239-4342-B53D-F9DF817C8ED8}"/>
    <cellStyle name="Comma 4 5" xfId="279" xr:uid="{DCDF1989-2E00-4574-BC06-6A9941A1241E}"/>
    <cellStyle name="Comma 4 5 2" xfId="280" xr:uid="{6E2FFB28-1119-4E29-B208-E1F490F826A7}"/>
    <cellStyle name="Comma 4 6" xfId="282" xr:uid="{D737EBCB-12B4-4A2C-9E30-62F4FF16A328}"/>
    <cellStyle name="Comma 4 7" xfId="284" xr:uid="{758AA6B5-366E-4FD0-94D4-1B7AB8E56B0B}"/>
    <cellStyle name="Comma 5" xfId="285" xr:uid="{0464BFA8-1DF5-4B5C-87F4-2DCA4CAA61B5}"/>
    <cellStyle name="Comma 5 2" xfId="287" xr:uid="{0676D6F0-A902-4182-A2EB-84C1E3A743EE}"/>
    <cellStyle name="Comma 6" xfId="288" xr:uid="{BAC16813-54D7-4ED7-BAA9-888613077DA5}"/>
    <cellStyle name="Comma 7" xfId="290" xr:uid="{B063DFAB-0A5B-4DBE-8F33-E86D02B2C03B}"/>
    <cellStyle name="Comma 8" xfId="39" xr:uid="{00000000-0005-0000-0000-000003000000}"/>
    <cellStyle name="Comma 8 2" xfId="624" xr:uid="{107FD4E6-4A20-4E36-930F-03B0D951A8EE}"/>
    <cellStyle name="Comma 8 3" xfId="293" xr:uid="{9F94FA91-9E5B-4B93-98FA-E13D519AD4A9}"/>
    <cellStyle name="Currency 10" xfId="296" xr:uid="{361B9D9E-30A9-4AB4-9D15-B00597B2967B}"/>
    <cellStyle name="Currency 10 2" xfId="300" xr:uid="{AA8047D2-F862-4EBA-A88C-0ABFBDA5D358}"/>
    <cellStyle name="Currency 10 3" xfId="304" xr:uid="{D1E3E710-66D5-451B-96EB-25242212EA5E}"/>
    <cellStyle name="Currency 10 4" xfId="310" xr:uid="{7FC47FB6-99F0-4B16-B8D3-5D64361FBAEB}"/>
    <cellStyle name="Currency 11" xfId="234" xr:uid="{63B6E1D4-EE2D-4560-A3D8-5C5FBC64DF87}"/>
    <cellStyle name="Currency 11 2" xfId="313" xr:uid="{6C0DC84F-1091-4020-884D-FEEF0E29477C}"/>
    <cellStyle name="Currency 12" xfId="316" xr:uid="{A5CD8E1E-F518-43FB-846A-95109ACE03EF}"/>
    <cellStyle name="Currency 13" xfId="87" xr:uid="{59062D2F-DBC1-44B8-9830-6655F344FC94}"/>
    <cellStyle name="Currency 14" xfId="602" xr:uid="{7197197B-7A72-42A8-9944-7172E4C88980}"/>
    <cellStyle name="Currency 2" xfId="8" xr:uid="{00000000-0005-0000-0000-000004000000}"/>
    <cellStyle name="Currency 2 2" xfId="320" xr:uid="{5D479999-BC77-49F9-B210-DC6ED91DCA4E}"/>
    <cellStyle name="Currency 2 2 2" xfId="14" xr:uid="{00000000-0005-0000-0000-000005000000}"/>
    <cellStyle name="Currency 2 3" xfId="33" xr:uid="{00000000-0005-0000-0000-000006000000}"/>
    <cellStyle name="Currency 2 3 2" xfId="323" xr:uid="{D226FD74-EF54-4A67-BCD5-449FBB7E133C}"/>
    <cellStyle name="Currency 2 3 3" xfId="324" xr:uid="{4E90EC8F-937C-4AB2-8258-9C0453732EBE}"/>
    <cellStyle name="Currency 2 3 4" xfId="322" xr:uid="{0AC345D1-F902-4120-8E82-BE5098923107}"/>
    <cellStyle name="Currency 2 4" xfId="325" xr:uid="{9745644F-31F8-4A0B-81CB-2EE8866B016F}"/>
    <cellStyle name="Currency 3" xfId="55" xr:uid="{9D07E888-4724-408D-A2F6-3FD23B863A39}"/>
    <cellStyle name="Currency 3 2" xfId="309" xr:uid="{CCE4BCDE-924E-419C-B604-C859073AF9BA}"/>
    <cellStyle name="Currency 3 2 2" xfId="212" xr:uid="{AD0C8D2C-FAA7-4AB0-873A-CC86EA3C30FE}"/>
    <cellStyle name="Currency 3 2 2 2" xfId="268" xr:uid="{6F5B869D-79A8-42E4-920E-594326BA4B6A}"/>
    <cellStyle name="Currency 3 2 2 2 2" xfId="328" xr:uid="{7AA626E3-B9A9-46BB-BC8B-5A7C28C754E5}"/>
    <cellStyle name="Currency 3 2 2 3" xfId="272" xr:uid="{BF48A6D8-7BB4-4F57-AF5F-803A2B48C90A}"/>
    <cellStyle name="Currency 3 2 3" xfId="330" xr:uid="{450F3EA1-8E0C-440A-9D1E-36573496B5D0}"/>
    <cellStyle name="Currency 3 2 3 2" xfId="333" xr:uid="{03CA1BAE-54C3-4BB3-9330-D19DF1BCD3BE}"/>
    <cellStyle name="Currency 3 2 4" xfId="335" xr:uid="{EB448216-8044-4EFE-897B-872B80BCE96A}"/>
    <cellStyle name="Currency 3 2 5" xfId="337" xr:uid="{52EFAC8A-9EC4-4653-AA9C-5344D7E10BC9}"/>
    <cellStyle name="Currency 3 3" xfId="59" xr:uid="{5D46BCA7-C7A0-44C9-8316-ED311F57E7CD}"/>
    <cellStyle name="Currency 3 4" xfId="299" xr:uid="{887329BE-D576-4B16-BF44-73FCECCD617E}"/>
    <cellStyle name="Currency 4" xfId="303" xr:uid="{939A2058-202E-413D-8DEC-09436875E401}"/>
    <cellStyle name="Currency 4 2" xfId="339" xr:uid="{51613DD1-1851-46F3-8DE7-C060E2F08CFF}"/>
    <cellStyle name="Currency 4 3" xfId="340" xr:uid="{BFDD9B94-407A-43BB-AF62-0C4658983B93}"/>
    <cellStyle name="Currency 4 3 2" xfId="98" xr:uid="{48822320-9995-4D69-BEEC-B4BBE0F76A17}"/>
    <cellStyle name="Currency 4 4" xfId="341" xr:uid="{405C76A9-7882-4570-8F9F-65627F5AA4B6}"/>
    <cellStyle name="Currency 4 5" xfId="342" xr:uid="{49868753-C595-4D57-B3F8-3730F313A15B}"/>
    <cellStyle name="Currency 5" xfId="305" xr:uid="{85CE5FD2-754B-4268-A510-FDA495218125}"/>
    <cellStyle name="Currency 5 2" xfId="210" xr:uid="{00B0F08E-BAEF-4C2E-BC5A-757921401DFC}"/>
    <cellStyle name="Currency 5 2 2" xfId="267" xr:uid="{A38A5CC1-172E-4CF7-B235-676FC07163D1}"/>
    <cellStyle name="Currency 5 2 2 2" xfId="327" xr:uid="{0C24FE05-175C-4A54-A935-1A30B39F35CB}"/>
    <cellStyle name="Currency 5 2 2 2 2" xfId="343" xr:uid="{A2917039-528B-4C15-AB6B-8FAD6CEBBDFB}"/>
    <cellStyle name="Currency 5 2 2 2 2 2" xfId="345" xr:uid="{CBAFCDBA-95C5-4FD2-B5AA-65514DFD650F}"/>
    <cellStyle name="Currency 5 2 2 2 3" xfId="182" xr:uid="{40E21732-EBE5-4137-9EDE-8B4FBE099E5B}"/>
    <cellStyle name="Currency 5 2 2 3" xfId="346" xr:uid="{CE85597B-99C4-401F-B5CB-93A3425CFC45}"/>
    <cellStyle name="Currency 5 2 2 3 2" xfId="347" xr:uid="{824EA0B1-1682-4636-8678-7E93B8B8061A}"/>
    <cellStyle name="Currency 5 2 2 4" xfId="348" xr:uid="{62C314FA-8FC9-4EFB-9AAC-7387D04FB0E2}"/>
    <cellStyle name="Currency 5 2 2 5" xfId="349" xr:uid="{E69A3673-9DCB-431C-9E1B-CA4E1318882F}"/>
    <cellStyle name="Currency 5 2 3" xfId="271" xr:uid="{ABCEE7F7-F13F-4EC9-9142-315CC2270C2E}"/>
    <cellStyle name="Currency 5 2 4" xfId="247" xr:uid="{1D3C2D97-678E-411A-93B4-55E34D657D93}"/>
    <cellStyle name="Currency 5 2 4 2" xfId="78" xr:uid="{BC9A6ED0-96C8-41D0-9E53-B765641E56C3}"/>
    <cellStyle name="Currency 5 2 5" xfId="351" xr:uid="{1DB82806-5871-4E5B-976B-2BD8DA838736}"/>
    <cellStyle name="Currency 5 2 6" xfId="352" xr:uid="{3693AA92-A26F-4CFA-B611-82BEBBBE72A6}"/>
    <cellStyle name="Currency 5 3" xfId="329" xr:uid="{ABC08D2C-38C7-4AA4-AA9F-031E5959210B}"/>
    <cellStyle name="Currency 5 3 2" xfId="332" xr:uid="{261D1560-585C-4651-9E51-C605D26EFAE4}"/>
    <cellStyle name="Currency 5 3 2 2" xfId="353" xr:uid="{6A1A1A1B-457F-477A-949A-9FEEF4086100}"/>
    <cellStyle name="Currency 5 3 2 2 2" xfId="220" xr:uid="{2A19209B-5396-49A7-8D4E-1419AA9AC9A1}"/>
    <cellStyle name="Currency 5 3 2 3" xfId="354" xr:uid="{4D05FEC8-C7C9-4AFF-936A-0610DE5B93A4}"/>
    <cellStyle name="Currency 5 3 3" xfId="355" xr:uid="{A439A2FF-4B41-4BBE-94D7-D4B0A13A0146}"/>
    <cellStyle name="Currency 5 3 3 2" xfId="357" xr:uid="{EB3FF247-563C-4D28-8334-01D3FA37AF4C}"/>
    <cellStyle name="Currency 5 3 4" xfId="358" xr:uid="{BA9763C6-F613-48DE-B69C-AECFF38BB76A}"/>
    <cellStyle name="Currency 5 3 5" xfId="359" xr:uid="{5D02EC0E-D404-48E9-97E6-DCB3E639FE77}"/>
    <cellStyle name="Currency 5 4" xfId="334" xr:uid="{29CC2DFC-5434-447B-A485-DD34100EE867}"/>
    <cellStyle name="Currency 5 5" xfId="336" xr:uid="{02B367AC-BAB3-442D-87CA-2DFBE213336C}"/>
    <cellStyle name="Currency 5 5 2" xfId="360" xr:uid="{024B5C35-2578-4E14-A4A8-681AAD1C7AFA}"/>
    <cellStyle name="Currency 5 6" xfId="361" xr:uid="{4DFC7F46-984C-44C7-9F17-9C92CA42DB7D}"/>
    <cellStyle name="Currency 5 7" xfId="362" xr:uid="{6AB180D1-3B28-4ED4-ADFE-9195B225DF38}"/>
    <cellStyle name="Currency 6" xfId="57" xr:uid="{305C039A-5DA4-4374-B12C-841808F0E2C4}"/>
    <cellStyle name="Currency 6 2" xfId="364" xr:uid="{073B5621-3109-4B98-87EC-ADC45A1D317E}"/>
    <cellStyle name="Currency 6 3" xfId="365" xr:uid="{6581590E-52AC-47C6-AC5B-146F6E84E0EF}"/>
    <cellStyle name="Currency 7" xfId="67" xr:uid="{4B99CBF7-5F51-44A8-9D6B-49B6F5507CF0}"/>
    <cellStyle name="Currency 7 2" xfId="367" xr:uid="{1276DC25-DFD8-48DD-AFE9-1E82C504E31C}"/>
    <cellStyle name="Currency 7 3" xfId="370" xr:uid="{46D5A5B2-620C-4D1B-8169-0B3FF5A2D33B}"/>
    <cellStyle name="Currency 7 4" xfId="373" xr:uid="{C98747C9-BED0-4885-8578-BE9E019D0179}"/>
    <cellStyle name="Currency 8" xfId="374" xr:uid="{A9CD6459-EFD0-4AAB-BFCF-4B40FE26DFB8}"/>
    <cellStyle name="Currency 8 2" xfId="375" xr:uid="{E7B97294-784F-4B71-B4C0-3C1D616ED06D}"/>
    <cellStyle name="Currency 9" xfId="217" xr:uid="{CA290B95-8122-4F11-A551-A910CD15BD12}"/>
    <cellStyle name="Currency 9 2" xfId="376" xr:uid="{D9331664-0722-4609-B6D1-FEBE06546470}"/>
    <cellStyle name="Heading 1 2" xfId="378" xr:uid="{C1B5CF01-14CF-407B-B28A-3CD6EC8864E0}"/>
    <cellStyle name="Heading 2 2" xfId="381" xr:uid="{B021B260-BC2B-4DD1-8463-5F5B2DF4C88A}"/>
    <cellStyle name="Heading 3 2" xfId="80" xr:uid="{2D73AAD3-227C-402C-91C1-015CA3372F2A}"/>
    <cellStyle name="Heading 4 2" xfId="49" xr:uid="{4DA28217-3C94-4525-9D27-9DE2862DBED8}"/>
    <cellStyle name="Heading 4 2 2" xfId="131" xr:uid="{85AF9EA0-8615-4566-A2DD-3C9E3D633281}"/>
    <cellStyle name="Hyperlink" xfId="40" builtinId="8"/>
    <cellStyle name="Hyperlink 2" xfId="37" xr:uid="{00000000-0005-0000-0000-000008000000}"/>
    <cellStyle name="Hyperlink 2 2" xfId="383" xr:uid="{792F5A9C-1077-4723-B2B9-218C4AB9F8BF}"/>
    <cellStyle name="Hyperlink 2 3" xfId="636" xr:uid="{C5661673-1345-4EB3-8543-117EF070C3A1}"/>
    <cellStyle name="Hyperlink 3" xfId="47" xr:uid="{E0CD5C3C-4822-4B3D-9528-359D831272D3}"/>
    <cellStyle name="Hyperlink 3 2" xfId="369" xr:uid="{B01059CC-6A98-49C6-BB15-75FA4F0B7FD6}"/>
    <cellStyle name="Hyperlink 4" xfId="45" xr:uid="{00000000-0005-0000-0000-000009000000}"/>
    <cellStyle name="Hyperlink 4 2" xfId="628" xr:uid="{69238A80-584D-464F-96A4-C5B6F7EB3F25}"/>
    <cellStyle name="Hyperlink 4 3" xfId="372" xr:uid="{8492088C-0B1E-4F46-B4E6-707CECAD6314}"/>
    <cellStyle name="Hyperlink 5" xfId="603" xr:uid="{D4EFF804-BFC7-4B53-A92B-79C153C58B69}"/>
    <cellStyle name="Hyperlink 6" xfId="625" xr:uid="{7BC28926-96BB-41B6-AC19-BBECC7907529}"/>
    <cellStyle name="Label" xfId="1" xr:uid="{00000000-0005-0000-0000-00000A000000}"/>
    <cellStyle name="Label No Shade" xfId="2" xr:uid="{00000000-0005-0000-0000-00000B000000}"/>
    <cellStyle name="Label Shaded" xfId="3" xr:uid="{00000000-0005-0000-0000-00000C000000}"/>
    <cellStyle name="Normal" xfId="0" builtinId="0"/>
    <cellStyle name="Normal 10" xfId="11" xr:uid="{00000000-0005-0000-0000-00000E000000}"/>
    <cellStyle name="Normal 10 2" xfId="24" xr:uid="{00000000-0005-0000-0000-00000F000000}"/>
    <cellStyle name="Normal 10 2 2" xfId="614" xr:uid="{CF0FAFFE-D9F7-4D2B-87B1-59177C08B82F}"/>
    <cellStyle name="Normal 10 2 3" xfId="385" xr:uid="{66E3A1B2-7F18-409F-A5E5-69B560B31724}"/>
    <cellStyle name="Normal 10 3" xfId="386" xr:uid="{84BE7C80-A47E-4E6A-8148-312D401B0664}"/>
    <cellStyle name="Normal 10 4" xfId="15" xr:uid="{00000000-0005-0000-0000-000010000000}"/>
    <cellStyle name="Normal 11" xfId="388" xr:uid="{6E8FAA3A-2C1F-4C0E-B026-FB951902680F}"/>
    <cellStyle name="Normal 11 2" xfId="389" xr:uid="{3D143AEC-B5F1-4E2C-9E3A-23966A7774BD}"/>
    <cellStyle name="Normal 11 3" xfId="105" xr:uid="{405105FF-2197-4353-BA25-D21B5863C9B1}"/>
    <cellStyle name="Normal 12" xfId="390" xr:uid="{77D2338C-AB83-4C93-9433-F4EF1FF06DD3}"/>
    <cellStyle name="Normal 12 2" xfId="391" xr:uid="{F5DE22E1-AE4D-475F-BDA2-3728370265F6}"/>
    <cellStyle name="Normal 12 2 2" xfId="392" xr:uid="{67C6DCF3-4C0C-4644-8D08-DEAAC65E0424}"/>
    <cellStyle name="Normal 12 2 2 2" xfId="393" xr:uid="{03D8F3E9-82DC-4A70-AB40-6C1B58C3EE17}"/>
    <cellStyle name="Normal 12 2 3" xfId="396" xr:uid="{92CF779F-2F21-4735-BBEA-C6A3B915F8A5}"/>
    <cellStyle name="Normal 12 3" xfId="84" xr:uid="{C31C13A5-3422-4535-A997-787EECC88523}"/>
    <cellStyle name="Normal 12 3 2" xfId="153" xr:uid="{8C1F2FD2-8F64-4429-B44D-9C551E48044B}"/>
    <cellStyle name="Normal 12 3 3" xfId="397" xr:uid="{EB55A251-2763-4C7F-9AB6-658D374D9540}"/>
    <cellStyle name="Normal 12 3 4" xfId="398" xr:uid="{8CB39850-5212-475A-A3AE-6C6220D93843}"/>
    <cellStyle name="Normal 12 4" xfId="400" xr:uid="{9C834B00-EEC1-4ABF-B197-E13EBE44FB7F}"/>
    <cellStyle name="Normal 12 5" xfId="401" xr:uid="{5C7A4FFA-0E92-4891-AE87-121768A6A110}"/>
    <cellStyle name="Normal 13" xfId="403" xr:uid="{41FE81FD-1C99-4211-A4D9-37E57FAF2648}"/>
    <cellStyle name="Normal 13 2" xfId="404" xr:uid="{1942FE53-1AF0-49C0-8793-8A75E7F36F5F}"/>
    <cellStyle name="Normal 13 3" xfId="405" xr:uid="{BB6545D9-6737-4801-9310-2FFA774888F3}"/>
    <cellStyle name="Normal 14" xfId="406" xr:uid="{BA3C8EB8-2891-479D-ADDF-B39FA8772769}"/>
    <cellStyle name="Normal 14 2" xfId="408" xr:uid="{B496B45C-EFCE-4995-997C-740B15E24FAA}"/>
    <cellStyle name="Normal 15" xfId="9" xr:uid="{00000000-0005-0000-0000-000011000000}"/>
    <cellStyle name="Normal 15 2" xfId="409" xr:uid="{BCDE0FF8-51BF-4A83-BF29-8842496E5508}"/>
    <cellStyle name="Normal 15 3" xfId="28" xr:uid="{00000000-0005-0000-0000-000012000000}"/>
    <cellStyle name="Normal 16" xfId="50" xr:uid="{C1D0689E-E172-4FAE-ACFD-DFA5272B1004}"/>
    <cellStyle name="Normal 16 2" xfId="412" xr:uid="{ABB0B702-AEB4-45C9-8AA2-7AF709281EEE}"/>
    <cellStyle name="Normal 17" xfId="157" xr:uid="{E122F50F-5EE5-4ED3-A2E9-6534984EAD51}"/>
    <cellStyle name="Normal 18" xfId="17" xr:uid="{00000000-0005-0000-0000-000013000000}"/>
    <cellStyle name="Normal 18 2" xfId="609" xr:uid="{59CB29D9-2DA9-4DAD-B599-CB700F61154C}"/>
    <cellStyle name="Normal 18 3" xfId="413" xr:uid="{088BED52-CC83-4C50-8B22-021227B73E81}"/>
    <cellStyle name="Normal 19" xfId="16" xr:uid="{00000000-0005-0000-0000-000014000000}"/>
    <cellStyle name="Normal 19 2" xfId="608" xr:uid="{67D5E8D9-F7A2-4598-8D69-D74109C93F2F}"/>
    <cellStyle name="Normal 19 3" xfId="414" xr:uid="{C53D57C4-ABEC-4859-9346-474AF92EFB73}"/>
    <cellStyle name="Normal 2" xfId="6" xr:uid="{00000000-0005-0000-0000-000015000000}"/>
    <cellStyle name="Normal 2 2" xfId="20" xr:uid="{00000000-0005-0000-0000-000016000000}"/>
    <cellStyle name="Normal 2 2 2" xfId="25" xr:uid="{00000000-0005-0000-0000-000017000000}"/>
    <cellStyle name="Normal 2 2 2 2" xfId="101" xr:uid="{BDB8C823-647F-422E-A630-8D0823EF2CF2}"/>
    <cellStyle name="Normal 2 2 2 3" xfId="102" xr:uid="{4C69F91F-8433-404A-AC5D-96AC58B57F11}"/>
    <cellStyle name="Normal 2 2 2 4" xfId="615" xr:uid="{4D3B287E-1F7C-4F41-86E0-3AAB71275461}"/>
    <cellStyle name="Normal 2 2 2 5" xfId="417" xr:uid="{0E106797-12C4-4CCE-B07A-503D0B7177BE}"/>
    <cellStyle name="Normal 2 2 3" xfId="34" xr:uid="{00000000-0005-0000-0000-000018000000}"/>
    <cellStyle name="Normal 2 2 3 2" xfId="620" xr:uid="{CDF48F69-16D8-4609-BD59-912123156DFF}"/>
    <cellStyle name="Normal 2 2 4" xfId="31" xr:uid="{00000000-0005-0000-0000-000019000000}"/>
    <cellStyle name="Normal 2 3" xfId="22" xr:uid="{00000000-0005-0000-0000-00001A000000}"/>
    <cellStyle name="Normal 2 3 2" xfId="399" xr:uid="{01785035-584B-4AC9-992B-DD8CF53B56C1}"/>
    <cellStyle name="Normal 2 3 3" xfId="612" xr:uid="{9975EA3B-AC8C-4913-931A-C73A77B82EFA}"/>
    <cellStyle name="Normal 2 3 4" xfId="419" xr:uid="{CFC9F111-D885-405A-A9A8-9DD76F8B1D60}"/>
    <cellStyle name="Normal 2 4" xfId="420" xr:uid="{E312EF08-D385-49A7-B804-A199EF75DB71}"/>
    <cellStyle name="Normal 2 4 2" xfId="421" xr:uid="{8B403124-6C67-4421-B58B-6A4E31FF53CB}"/>
    <cellStyle name="Normal 2 4 2 2" xfId="422" xr:uid="{44466A69-6405-4E5D-9F18-404CB32C6C6F}"/>
    <cellStyle name="Normal 2 4 2 3" xfId="295" xr:uid="{85FFFC87-E40E-4B8A-8E98-B913FF30FF80}"/>
    <cellStyle name="Normal 2 4 2 3 2" xfId="297" xr:uid="{C16AA371-9F02-467C-B218-FBA193FCFD0D}"/>
    <cellStyle name="Normal 2 4 2 3 2 2" xfId="306" xr:uid="{524A62C2-FCED-492E-B19F-A6F9F22F86AF}"/>
    <cellStyle name="Normal 2 4 2 3 2 2 2" xfId="211" xr:uid="{9F937693-562F-4854-8C3D-137B79458F2E}"/>
    <cellStyle name="Normal 2 4 2 3 2 3" xfId="58" xr:uid="{0CCBA7BC-7B0A-4152-A9D7-FFCFCEF42B2D}"/>
    <cellStyle name="Normal 2 4 2 3 3" xfId="301" xr:uid="{9C93B898-E767-4914-9A52-DDCDC67E940D}"/>
    <cellStyle name="Normal 2 4 2 3 3 2" xfId="338" xr:uid="{124ABB74-86DD-47D9-8218-4FDE06EE3C55}"/>
    <cellStyle name="Normal 2 4 2 3 4" xfId="308" xr:uid="{BB03580C-370C-4C44-BB9E-19518E6C4CE7}"/>
    <cellStyle name="Normal 2 4 2 4" xfId="233" xr:uid="{0E760E20-0323-4174-9479-DF1BBC05378A}"/>
    <cellStyle name="Normal 2 4 2 4 2" xfId="311" xr:uid="{E65E5509-5ED5-4F86-B5B8-546549C895AB}"/>
    <cellStyle name="Normal 2 4 2 4 2 2" xfId="423" xr:uid="{1D1AE5D7-49C3-48A7-88BA-B9B65146D276}"/>
    <cellStyle name="Normal 2 4 2 4 3" xfId="425" xr:uid="{58F63559-2CC9-4D19-87AC-B4AE4E65F177}"/>
    <cellStyle name="Normal 2 4 2 5" xfId="315" xr:uid="{245BF498-DCBD-49AC-9E7C-8E9EA70A8950}"/>
    <cellStyle name="Normal 2 4 2 5 2" xfId="427" xr:uid="{B6AF5E91-DEC8-42E0-9EF4-8317C8210875}"/>
    <cellStyle name="Normal 2 4 2 6" xfId="86" xr:uid="{7061F432-D355-4B47-9B55-7358EA706DCA}"/>
    <cellStyle name="Normal 2 4 3" xfId="428" xr:uid="{D654E206-758A-4B2E-B7C9-BDDE89C539CC}"/>
    <cellStyle name="Normal 2 4 3 2" xfId="429" xr:uid="{41380556-E6E2-4864-BF0E-5E8EC2BE2833}"/>
    <cellStyle name="Normal 2 4 3 3" xfId="430" xr:uid="{F4881119-A3A9-4EE0-8EFF-37EFDF6E56A9}"/>
    <cellStyle name="Normal 2 4 3 3 2" xfId="431" xr:uid="{410A6C74-2C38-4443-B551-AF5439C8A4DA}"/>
    <cellStyle name="Normal 2 4 3 3 2 2" xfId="394" xr:uid="{94268299-BEB4-47F7-8C32-0873465B6FF6}"/>
    <cellStyle name="Normal 2 4 3 3 3" xfId="433" xr:uid="{197F1D50-1CD1-4FD3-B807-F6F1E4B4E926}"/>
    <cellStyle name="Normal 2 4 4" xfId="61" xr:uid="{1EBE7D8F-5184-4121-80CB-90E0341DE18C}"/>
    <cellStyle name="Normal 2 4 5" xfId="366" xr:uid="{4D527757-B8CD-4D8B-9734-AC623C8A595A}"/>
    <cellStyle name="Normal 2 4 5 2" xfId="382" xr:uid="{E39306CE-888F-4785-9F8D-2844D76E5726}"/>
    <cellStyle name="Normal 2 4 5 2 2" xfId="410" xr:uid="{5AFDEF8D-7A0D-48ED-839B-27D0A0D440A9}"/>
    <cellStyle name="Normal 2 4 5 2 2 2" xfId="411" xr:uid="{135A09DC-86A1-4848-882B-28FD7FB3CA25}"/>
    <cellStyle name="Normal 2 4 5 2 3" xfId="156" xr:uid="{C1FC8ACE-863F-42B7-84D0-11A30DBADFE9}"/>
    <cellStyle name="Normal 2 4 5 3" xfId="435" xr:uid="{1AB1976F-0A9D-4B00-977E-68FEC48574C8}"/>
    <cellStyle name="Normal 2 4 5 3 2" xfId="436" xr:uid="{98D62FD0-968D-457A-B6B9-196B91480D27}"/>
    <cellStyle name="Normal 2 4 5 4" xfId="286" xr:uid="{F7D64343-6E28-4DE5-B701-27722340731F}"/>
    <cellStyle name="Normal 2 4 6" xfId="368" xr:uid="{7E79C96E-408E-4862-8C10-803104387446}"/>
    <cellStyle name="Normal 2 4 7" xfId="371" xr:uid="{90401E08-1C3C-4447-9A08-87B5E54EECB1}"/>
    <cellStyle name="Normal 2 4 7 2" xfId="437" xr:uid="{BD1B5265-AD52-438B-98B3-3B36CBB9D9FB}"/>
    <cellStyle name="Normal 2 4 8" xfId="438" xr:uid="{2E76056B-BDD8-4263-A1F9-BDDA748AEF32}"/>
    <cellStyle name="Normal 2 5" xfId="32" xr:uid="{00000000-0005-0000-0000-00001B000000}"/>
    <cellStyle name="Normal 2 5 2" xfId="441" xr:uid="{F4B4F892-96DF-4696-8E32-C0B580EFD8A3}"/>
    <cellStyle name="Normal 2 5 3" xfId="442" xr:uid="{32BD3852-8256-4386-96FB-20299E8E4739}"/>
    <cellStyle name="Normal 2 5 4" xfId="443" xr:uid="{CD2E6099-C67F-4CB1-9DB8-B4A95D6035E2}"/>
    <cellStyle name="Normal 2 5 4 2" xfId="445" xr:uid="{853D0BE2-EBF9-4BD5-994D-4AAC7FA57C19}"/>
    <cellStyle name="Normal 2 5 4 2 2" xfId="447" xr:uid="{CA9A87F6-6BD4-43F0-A805-D1E7D7839E30}"/>
    <cellStyle name="Normal 2 5 4 3" xfId="449" xr:uid="{C3EC8BFF-A019-4300-9ED6-B4AB567197B4}"/>
    <cellStyle name="Normal 2 5 5" xfId="619" xr:uid="{FCBA3A32-EF39-479C-AF03-03B9338402AF}"/>
    <cellStyle name="Normal 2 5 6" xfId="440" xr:uid="{1CC50626-E990-49B2-9A05-2DE2BEA1F02E}"/>
    <cellStyle name="Normal 2 6" xfId="450" xr:uid="{24E21F98-4F4E-4D70-925A-3C44608536C4}"/>
    <cellStyle name="Normal 2 7" xfId="605" xr:uid="{D9CE5A9D-7769-4744-93DD-126470050C7C}"/>
    <cellStyle name="Normal 2 8" xfId="363" xr:uid="{15C54563-B14B-488A-A5B7-285A37C7D006}"/>
    <cellStyle name="Normal 20" xfId="29" xr:uid="{00000000-0005-0000-0000-00001C000000}"/>
    <cellStyle name="Normal 20 2" xfId="618" xr:uid="{B7D93CF5-4B0B-4785-8BFE-B75C5696BD0F}"/>
    <cellStyle name="Normal 20 3" xfId="124" xr:uid="{095BE23E-5000-41B4-BACF-CA8CA1A8F16D}"/>
    <cellStyle name="Normal 21" xfId="38" xr:uid="{00000000-0005-0000-0000-00001D000000}"/>
    <cellStyle name="Normal 21 2" xfId="623" xr:uid="{FE099B78-B897-48AF-9DF0-4273C6B22EDE}"/>
    <cellStyle name="Normal 22" xfId="604" xr:uid="{A9B12ACF-AA7A-4032-A185-CA7145911F23}"/>
    <cellStyle name="Normal 23" xfId="56" xr:uid="{2283F95D-A251-4FAD-A850-986D81520893}"/>
    <cellStyle name="Normal 24" xfId="629" xr:uid="{6A813430-2FFD-42CF-A79A-23D3B459E454}"/>
    <cellStyle name="Normal 25" xfId="630" xr:uid="{75AD20F3-108F-4B29-B564-A9718181C677}"/>
    <cellStyle name="Normal 26" xfId="638" xr:uid="{71DBA68F-2C7E-4D42-B319-85D8E8D07B3E}"/>
    <cellStyle name="Normal 3" xfId="7" xr:uid="{00000000-0005-0000-0000-00001E000000}"/>
    <cellStyle name="Normal 3 2" xfId="27" xr:uid="{00000000-0005-0000-0000-00001F000000}"/>
    <cellStyle name="Normal 3 2 2" xfId="454" xr:uid="{5CC7CAF3-387B-4907-A89D-A1A20455DE53}"/>
    <cellStyle name="Normal 3 2 2 2" xfId="64" xr:uid="{AA9F4F39-F7CC-4363-A296-75D6DCA5CC74}"/>
    <cellStyle name="Normal 3 2 3" xfId="457" xr:uid="{35A094A8-37A1-4C70-A359-6E36202A8CFC}"/>
    <cellStyle name="Normal 3 2 3 2" xfId="458" xr:uid="{31E1827D-264E-442E-AD2C-ACB48404E31C}"/>
    <cellStyle name="Normal 3 2 3 2 2" xfId="459" xr:uid="{CC91B228-02E8-4940-B9BC-57AC199418D0}"/>
    <cellStyle name="Normal 3 2 3 3" xfId="134" xr:uid="{0D16C226-EE1F-4758-BA62-5814D39B9763}"/>
    <cellStyle name="Normal 3 2 4" xfId="617" xr:uid="{E9A93434-A46F-4357-9DFF-1194786253F4}"/>
    <cellStyle name="Normal 3 2 5" xfId="452" xr:uid="{91A5B3D7-22F8-44C4-A97B-7DBCB11AB41E}"/>
    <cellStyle name="Normal 3 2_Item C7" xfId="344" xr:uid="{1B16EA52-0EA5-4327-9765-F047EC3D7E69}"/>
    <cellStyle name="Normal 3 3" xfId="48" xr:uid="{DAC5F662-291B-4FFE-99AE-ACABE595529D}"/>
    <cellStyle name="Normal 3 3 2" xfId="294" xr:uid="{36651FA3-8ED3-463A-AFD6-5ED713ADF357}"/>
    <cellStyle name="Normal 3 3 3" xfId="462" xr:uid="{62F64128-6EF3-4B1B-B838-F69D3685B554}"/>
    <cellStyle name="Normal 3 3 4" xfId="461" xr:uid="{73D986E1-2194-4D9C-8408-41E8468E453F}"/>
    <cellStyle name="Normal 3 4" xfId="464" xr:uid="{8D20DEED-071F-4271-88D9-61E2D65515E2}"/>
    <cellStyle name="Normal 3 4 2" xfId="66" xr:uid="{8E27715F-C7AA-4200-B7DC-A8C3CAA7F83D}"/>
    <cellStyle name="Normal 3 5" xfId="36" xr:uid="{00000000-0005-0000-0000-000020000000}"/>
    <cellStyle name="Normal 3 5 2" xfId="622" xr:uid="{9D3CD40A-D1B5-43AD-AC39-C19401FD215D}"/>
    <cellStyle name="Normal 3 5 3" xfId="109" xr:uid="{720538A2-269E-42EF-BB73-AF8799C26749}"/>
    <cellStyle name="Normal 3_Item C7" xfId="466" xr:uid="{A8D21030-0F86-45EB-A348-8BB52501433F}"/>
    <cellStyle name="Normal 4" xfId="10" xr:uid="{00000000-0005-0000-0000-000021000000}"/>
    <cellStyle name="Normal 4 10" xfId="467" xr:uid="{C44F13D4-F2F0-4AB0-AF98-CE30B2B48192}"/>
    <cellStyle name="Normal 4 2" xfId="19" xr:uid="{00000000-0005-0000-0000-000022000000}"/>
    <cellStyle name="Normal 4 2 2" xfId="26" xr:uid="{00000000-0005-0000-0000-000023000000}"/>
    <cellStyle name="Normal 4 2 2 2" xfId="470" xr:uid="{9926A5F0-479F-47BB-A628-D60C6CA6F29B}"/>
    <cellStyle name="Normal 4 2 2 3" xfId="471" xr:uid="{AF3155B4-B040-44D5-BC8E-878838D17CFF}"/>
    <cellStyle name="Normal 4 2 2 3 2" xfId="314" xr:uid="{F31C4F00-6BDD-48F2-AAB0-9D955B0A2D99}"/>
    <cellStyle name="Normal 4 2 2 3 2 2" xfId="426" xr:uid="{7072DCF7-1DDA-42FC-A602-79518AE3E236}"/>
    <cellStyle name="Normal 4 2 2 3 2 2 2" xfId="472" xr:uid="{77CFF328-8647-483F-97A3-585413DD689E}"/>
    <cellStyle name="Normal 4 2 2 3 2 3" xfId="205" xr:uid="{25FC2CBA-9DED-45E7-A794-4E9758AC0929}"/>
    <cellStyle name="Normal 4 2 2 3 3" xfId="85" xr:uid="{06B38433-A655-423B-B36F-F50810B36552}"/>
    <cellStyle name="Normal 4 2 2 3 3 2" xfId="402" xr:uid="{85FF3186-CA79-441C-860F-8AE64599F9D1}"/>
    <cellStyle name="Normal 4 2 2 3 4" xfId="356" xr:uid="{95AFD928-1588-43A1-B00A-06F5B07B0548}"/>
    <cellStyle name="Normal 4 2 2 4" xfId="473" xr:uid="{B391601F-9C8C-48DE-9E5C-27EDDD972553}"/>
    <cellStyle name="Normal 4 2 2 4 2" xfId="474" xr:uid="{D4D55206-DB2D-45D1-9222-A96696565A60}"/>
    <cellStyle name="Normal 4 2 2 4 2 2" xfId="456" xr:uid="{67E5DBC2-0D53-4229-A02D-0FFABD30CAB2}"/>
    <cellStyle name="Normal 4 2 2 4 3" xfId="465" xr:uid="{BBA59E30-DCA9-4500-97EE-38524E1C7E97}"/>
    <cellStyle name="Normal 4 2 2 5" xfId="168" xr:uid="{9DB9CF50-2FBD-46B6-9E95-9B45001DC7BF}"/>
    <cellStyle name="Normal 4 2 2 5 2" xfId="170" xr:uid="{DB804241-9C3F-4427-9F50-AD1ADDCD6CAD}"/>
    <cellStyle name="Normal 4 2 2 6" xfId="174" xr:uid="{02D21F8B-DFC1-4C8B-88D1-2C4B545592F6}"/>
    <cellStyle name="Normal 4 2 2 7" xfId="616" xr:uid="{7B7D13EF-D1C1-4000-B978-B2276D3F0893}"/>
    <cellStyle name="Normal 4 2 2 8" xfId="469" xr:uid="{70FF28DE-D8DA-4E67-892D-DC0820F16B7D}"/>
    <cellStyle name="Normal 4 2 3" xfId="35" xr:uid="{00000000-0005-0000-0000-000024000000}"/>
    <cellStyle name="Normal 4 2 3 2" xfId="621" xr:uid="{67DE51BC-322C-4313-9066-1C1B7CF2BF1E}"/>
    <cellStyle name="Normal 4 2 3 3" xfId="257" xr:uid="{B904F8A0-E222-4E0D-A167-6B5A328DADEE}"/>
    <cellStyle name="Normal 4 2 4" xfId="262" xr:uid="{95233766-383B-481B-8199-18EC76FF5B03}"/>
    <cellStyle name="Normal 4 2 4 2" xfId="264" xr:uid="{BB2B4FC8-66DE-49C6-BD0C-65920DF6EC21}"/>
    <cellStyle name="Normal 4 2 4 2 2" xfId="475" xr:uid="{3432298B-C15A-4949-AF5A-92C9AA395804}"/>
    <cellStyle name="Normal 4 2 4 2 2 2" xfId="71" xr:uid="{A8E6C958-E5B3-4F4A-AF08-E00ED01612DA}"/>
    <cellStyle name="Normal 4 2 4 2 3" xfId="407" xr:uid="{DB070409-1DCD-4A10-B841-EF50BA64FE2F}"/>
    <cellStyle name="Normal 4 2 4 3" xfId="476" xr:uid="{56539337-B6DD-4CE3-BDB0-D8EAB4140C57}"/>
    <cellStyle name="Normal 4 2 4 3 2" xfId="477" xr:uid="{E3E52511-6401-4107-8751-C7110F76AA9F}"/>
    <cellStyle name="Normal 4 2 4 4" xfId="479" xr:uid="{48E08287-8405-4068-8D85-61190D577FE7}"/>
    <cellStyle name="Normal 4 2 5" xfId="266" xr:uid="{081B3B50-3EFB-4298-A835-54AC3CBB3F30}"/>
    <cellStyle name="Normal 4 2 5 2" xfId="326" xr:uid="{F25A2CA1-26F0-447C-AA3D-A2DD6D313437}"/>
    <cellStyle name="Normal 4 2 6" xfId="270" xr:uid="{E99335E1-8988-42A6-94E4-BE31CAC1CD25}"/>
    <cellStyle name="Normal 4 2 7" xfId="611" xr:uid="{B86CA08B-49A4-4FDE-B070-1641D54E0B96}"/>
    <cellStyle name="Normal 4 2 8" xfId="468" xr:uid="{C32C2473-B89A-460D-940C-9815D9499384}"/>
    <cellStyle name="Normal 4 2_Item C7" xfId="73" xr:uid="{D8F9D958-C942-4E08-9A7E-4EE88FB2AD88}"/>
    <cellStyle name="Normal 4 3" xfId="23" xr:uid="{00000000-0005-0000-0000-000025000000}"/>
    <cellStyle name="Normal 4 3 2" xfId="481" xr:uid="{72417E1C-11CA-47B0-ABBF-460B1AAE5565}"/>
    <cellStyle name="Normal 4 3 2 2" xfId="482" xr:uid="{EB972EE3-B46D-4667-9332-AB52DB83D5D0}"/>
    <cellStyle name="Normal 4 3 2 2 2" xfId="483" xr:uid="{F7731A1E-4D4D-4D1F-9F38-9C49C93E0924}"/>
    <cellStyle name="Normal 4 3 2 2 2 2" xfId="463" xr:uid="{C6CAD915-1EF1-462C-B3B6-86CE5686905C}"/>
    <cellStyle name="Normal 4 3 2 2 2 2 2" xfId="65" xr:uid="{BDE0C479-4D65-44A8-8083-4231B0F9A646}"/>
    <cellStyle name="Normal 4 3 2 2 2 3" xfId="108" xr:uid="{BD5DF4D9-33FE-4E4C-BAFF-0A90A5E1B112}"/>
    <cellStyle name="Normal 4 3 2 3" xfId="82" xr:uid="{C26C8987-D488-473B-9E40-C36720A1B297}"/>
    <cellStyle name="Normal 4 3 3" xfId="275" xr:uid="{1EAA22C0-4875-4EEC-B936-6F6B2005A2B9}"/>
    <cellStyle name="Normal 4 3 3 2" xfId="277" xr:uid="{0EAF0D86-F542-4630-9CB1-01C7D343F171}"/>
    <cellStyle name="Normal 4 3 3 2 2" xfId="478" xr:uid="{98C9D4AA-F83E-43C4-AB30-DAA54CE472E0}"/>
    <cellStyle name="Normal 4 3 3 3" xfId="484" xr:uid="{C73FF5DB-0BC4-4E56-ADCF-EF6033B894D0}"/>
    <cellStyle name="Normal 4 3 4" xfId="613" xr:uid="{76F3262A-74B1-4343-827F-20B6D8EC7530}"/>
    <cellStyle name="Normal 4 3 5" xfId="480" xr:uid="{FADA98D2-C8B9-4D06-BA09-0BB9A97EB424}"/>
    <cellStyle name="Normal 4 3_Item C7" xfId="379" xr:uid="{96591AE6-3947-496A-A054-7E6860FCAAE4}"/>
    <cellStyle name="Normal 4 4" xfId="486" xr:uid="{0DD35AC9-E795-44E2-A16B-1BB8FFC1E667}"/>
    <cellStyle name="Normal 4 4 2" xfId="487" xr:uid="{85E1C7D0-AA5F-4788-A734-E75045FB2D24}"/>
    <cellStyle name="Normal 4 4 2 2" xfId="489" xr:uid="{9AF3B25A-E1D2-40D1-8E5B-4507E4C201B0}"/>
    <cellStyle name="Normal 4 4 2 2 2" xfId="187" xr:uid="{88578DCF-9D4C-49A0-B913-106557AA2F43}"/>
    <cellStyle name="Normal 4 4 2 2 2 2" xfId="490" xr:uid="{75E1511E-957A-4513-BA41-40F331B4E692}"/>
    <cellStyle name="Normal 4 4 2 2 3" xfId="492" xr:uid="{A08B44D6-F4D1-44FD-8208-F4434344B21C}"/>
    <cellStyle name="Normal 4 4 2 3" xfId="189" xr:uid="{03BCDC31-9741-4F95-AA76-AF6FF8849F99}"/>
    <cellStyle name="Normal 4 4 2 3 2" xfId="191" xr:uid="{09615BB5-84B3-4885-B043-8BC2125B956E}"/>
    <cellStyle name="Normal 4 4 2 4" xfId="198" xr:uid="{289136D0-5139-4916-9F9A-276443CEC8BB}"/>
    <cellStyle name="Normal 4 4 3" xfId="281" xr:uid="{63605172-6E5F-496D-83EE-01A07F9EDF08}"/>
    <cellStyle name="Normal 4 4 3 2" xfId="493" xr:uid="{5F6B048B-5617-4D2C-9D21-3017B9C49595}"/>
    <cellStyle name="Normal 4 4 3 2 2" xfId="424" xr:uid="{DF9A5E88-5F61-40EF-B0DB-BEE3CAC2F9FF}"/>
    <cellStyle name="Normal 4 4 3 3" xfId="202" xr:uid="{899A43D1-7BCE-4CC7-BE1A-47D0CE9AC56A}"/>
    <cellStyle name="Normal 4 4 4" xfId="222" xr:uid="{62BADFE9-CAFE-4956-93DC-230901DB03A2}"/>
    <cellStyle name="Normal 4 4 4 2" xfId="494" xr:uid="{EDB62604-69C2-4228-A25C-99CDA71BD7C8}"/>
    <cellStyle name="Normal 4 4 5" xfId="495" xr:uid="{1EAE9678-F90B-4A47-98C6-C27B2DD6FFDA}"/>
    <cellStyle name="Normal 4 5" xfId="30" xr:uid="{00000000-0005-0000-0000-000026000000}"/>
    <cellStyle name="Normal 4 5 2" xfId="117" xr:uid="{6CFD1FEA-B155-4B5D-B932-CBAB387FEDB3}"/>
    <cellStyle name="Normal 4 5 3" xfId="115" xr:uid="{CA0CB309-2FD6-4C31-B144-B4D4903A11CE}"/>
    <cellStyle name="Normal 4 6" xfId="93" xr:uid="{1624CF84-0A96-4C11-9FC6-774AC108354D}"/>
    <cellStyle name="Normal 4 6 2" xfId="120" xr:uid="{00D6FAFC-48D5-4F0F-A711-C9B2F3CFCBAC}"/>
    <cellStyle name="Normal 4 6 2 2" xfId="496" xr:uid="{218D3C0A-D092-4D6B-9A58-6ADDF6E890C7}"/>
    <cellStyle name="Normal 4 6 2 2 2" xfId="485" xr:uid="{C7463F44-2018-4694-8A68-8903F4589FE5}"/>
    <cellStyle name="Normal 4 6 2 3" xfId="455" xr:uid="{11138C1F-6BC8-42D5-9424-208A4FD71294}"/>
    <cellStyle name="Normal 4 6 3" xfId="498" xr:uid="{5DB0F786-E5B9-4D53-BF0B-3E97EC997D14}"/>
    <cellStyle name="Normal 4 6 3 2" xfId="291" xr:uid="{BD2A4962-A339-47A0-9F7E-30BA09B8FD05}"/>
    <cellStyle name="Normal 4 6 4" xfId="89" xr:uid="{47B34872-B518-4A6C-8986-694BDF993E6E}"/>
    <cellStyle name="Normal 4 7" xfId="96" xr:uid="{9B47E03B-58BA-4E2E-81C2-FE4017F28AC2}"/>
    <cellStyle name="Normal 4 7 2" xfId="178" xr:uid="{B81A6DDA-BD39-41DE-BBF3-916BDD3C1C09}"/>
    <cellStyle name="Normal 4 8" xfId="488" xr:uid="{2191FB67-F953-48BE-AE53-52BEF086F518}"/>
    <cellStyle name="Normal 4 9" xfId="606" xr:uid="{A9985357-A8C8-498C-81E3-B2D931AE7DE8}"/>
    <cellStyle name="Normal 5" xfId="18" xr:uid="{00000000-0005-0000-0000-000027000000}"/>
    <cellStyle name="Normal 5 2" xfId="446" xr:uid="{5262B2BB-91AF-4B1D-8911-349A2CEC67C1}"/>
    <cellStyle name="Normal 5 2 2" xfId="499" xr:uid="{083F6DE8-E7B0-4643-B3CC-AAEC02D6FBF3}"/>
    <cellStyle name="Normal 5 2 2 2" xfId="283" xr:uid="{2026899D-425B-4D15-A50A-AF5A9746A9BC}"/>
    <cellStyle name="Normal 5 2 2 2 2" xfId="497" xr:uid="{6A96C4F4-3380-4F94-974F-88EBF2A9C001}"/>
    <cellStyle name="Normal 5 2 2 2 2 2" xfId="289" xr:uid="{7E2B0514-0BF1-4008-878F-E26A6F13F93F}"/>
    <cellStyle name="Normal 5 2 2 2 2 2 2" xfId="500" xr:uid="{B4366D67-731B-486C-AF2C-BD3102548876}"/>
    <cellStyle name="Normal 5 2 2 2 2 3" xfId="292" xr:uid="{BA714A7F-2CD6-4C8A-BFBF-387059B44E2C}"/>
    <cellStyle name="Normal 5 2 2 2 3" xfId="88" xr:uid="{4B868DF1-6233-4C7F-B54E-3943EEABF1F5}"/>
    <cellStyle name="Normal 5 2 2 2 3 2" xfId="230" xr:uid="{9CA73870-4914-4CF4-AABB-5C4A3C7A4F28}"/>
    <cellStyle name="Normal 5 2 2 2 4" xfId="501" xr:uid="{9C62D7B4-CB0E-4757-A196-31BB886685F5}"/>
    <cellStyle name="Normal 5 2 2 3" xfId="502" xr:uid="{084324ED-9457-4C94-B2BF-56FDCECC6CDA}"/>
    <cellStyle name="Normal 5 2 2 3 2" xfId="503" xr:uid="{D787CE0C-2B16-4736-B234-2410B405443B}"/>
    <cellStyle name="Normal 5 2 2 3 2 2" xfId="350" xr:uid="{4C5E312D-94E4-49DC-9A70-7AE83242B7C0}"/>
    <cellStyle name="Normal 5 2 2 3 3" xfId="224" xr:uid="{5F3F3D85-7284-493B-A226-802EBF57E162}"/>
    <cellStyle name="Normal 5 2 2 4" xfId="130" xr:uid="{25AA9B4E-4254-4211-883D-CE203D36B0E9}"/>
    <cellStyle name="Normal 5 2 2 4 2" xfId="491" xr:uid="{C841E651-DB7C-48B8-8472-64569DB25052}"/>
    <cellStyle name="Normal 5 2 2 5" xfId="319" xr:uid="{872BAB2E-4067-4E06-A57D-8605110EE768}"/>
    <cellStyle name="Normal 5 2 3" xfId="62" xr:uid="{7FA375A2-BF9A-4595-9821-B93182B5C10A}"/>
    <cellStyle name="Normal 5 2 3 2" xfId="317" xr:uid="{C67174BD-8833-4145-A1E4-7289AC328DF7}"/>
    <cellStyle name="Normal 5 2 3 2 2" xfId="318" xr:uid="{07164095-BF25-4019-8210-26D953A829C8}"/>
    <cellStyle name="Normal 5 2 3 2 2 2" xfId="197" xr:uid="{249AB7E8-9F31-4994-9BD8-6184117D8E6B}"/>
    <cellStyle name="Normal 5 2 3 2 3" xfId="321" xr:uid="{FA864A27-B2E7-4F1B-AFDF-74838FCB424F}"/>
    <cellStyle name="Normal 5 2 3 3" xfId="298" xr:uid="{1C87A88F-E860-4EDB-931A-24652DCFA923}"/>
    <cellStyle name="Normal 5 2 3 3 2" xfId="307" xr:uid="{61102C09-7458-40E9-8555-8BC6D0ADA13A}"/>
    <cellStyle name="Normal 5 2 3 4" xfId="302" xr:uid="{7756B37E-301B-436E-A489-03D1C6DE6F4D}"/>
    <cellStyle name="Normal 5 2 4" xfId="504" xr:uid="{9D5B2153-EFA4-4B25-88C0-11E4402C595B}"/>
    <cellStyle name="Normal 5 2 4 2" xfId="387" xr:uid="{40AD6013-E48C-4A7D-AEB8-FB204943EDFC}"/>
    <cellStyle name="Normal 5 2 4 2 2" xfId="505" xr:uid="{36FE277E-B297-44EF-93D7-12C647F3EF71}"/>
    <cellStyle name="Normal 5 2 4 3" xfId="312" xr:uid="{CE31D510-1281-4FB8-81E5-9F0D864EC261}"/>
    <cellStyle name="Normal 5 2 5" xfId="415" xr:uid="{31D86728-76A5-4CF6-8FDE-CFA1A062B4D7}"/>
    <cellStyle name="Normal 5 2 5 2" xfId="416" xr:uid="{AEF696B9-81C4-4360-806C-C7B3388CCE30}"/>
    <cellStyle name="Normal 5 2 6" xfId="418" xr:uid="{D1A6CDA2-F131-4BA3-91CA-634F3EF53F43}"/>
    <cellStyle name="Normal 5 2 7" xfId="643" xr:uid="{0267AE78-444A-47C3-B7E3-8586E95CE65C}"/>
    <cellStyle name="Normal 5 2_Item C7" xfId="100" xr:uid="{EB6E9D71-D268-4306-9055-043C18B4C21A}"/>
    <cellStyle name="Normal 5 3" xfId="72" xr:uid="{852C9300-AF1E-48A9-AC46-02AD7875514B}"/>
    <cellStyle name="Normal 5 3 2" xfId="377" xr:uid="{8A48F52B-7118-4993-A6E6-5CC8875BEF7B}"/>
    <cellStyle name="Normal 5 3 3" xfId="506" xr:uid="{A3824037-91CD-4BCD-AE02-E83FF4269BCB}"/>
    <cellStyle name="Normal 5 3 3 2" xfId="162" xr:uid="{4BD100AD-0CB1-4A4C-A309-47B420117229}"/>
    <cellStyle name="Normal 5 3 3 2 2" xfId="507" xr:uid="{1D21197D-28D3-48BF-8D6D-A2B55F7CDD45}"/>
    <cellStyle name="Normal 5 3 3 2 2 2" xfId="112" xr:uid="{042C1CDE-EFB2-41A9-BF7F-E5AF8B0ECCC5}"/>
    <cellStyle name="Normal 5 3 3 2 3" xfId="384" xr:uid="{FC029EF5-7F13-404E-BE93-9E4102072E58}"/>
    <cellStyle name="Normal 5 3 3 3" xfId="432" xr:uid="{C9B8D67A-2BA7-4A68-BAFC-8334F3D5AAB1}"/>
    <cellStyle name="Normal 5 3 3 3 2" xfId="395" xr:uid="{0933669B-C560-4062-A16A-EB410CB70716}"/>
    <cellStyle name="Normal 5 3 3 4" xfId="434" xr:uid="{F14145B7-F567-4B47-B4F9-5A15ADA1A205}"/>
    <cellStyle name="Normal 5 3 4" xfId="508" xr:uid="{23616730-89A7-46E3-AEC5-5B6BCEF9D91E}"/>
    <cellStyle name="Normal 5 3 4 2" xfId="509" xr:uid="{9C3F8F0A-E2DC-4200-A6C5-72D7F83BE52A}"/>
    <cellStyle name="Normal 5 3 4 2 2" xfId="510" xr:uid="{78D10D0B-A0DA-4008-8E18-34DED5CBD55C}"/>
    <cellStyle name="Normal 5 3 4 3" xfId="511" xr:uid="{10ADE8B6-F6BE-4CBD-8A21-54FBC19F5380}"/>
    <cellStyle name="Normal 5 3 5" xfId="451" xr:uid="{6736926E-7C32-4D29-9068-B86C6B1B8271}"/>
    <cellStyle name="Normal 5 3 5 2" xfId="453" xr:uid="{F5E4DCC2-B4C8-47A8-B5A3-5F0C8222C323}"/>
    <cellStyle name="Normal 5 3 6" xfId="460" xr:uid="{136D0041-CE55-4E4D-8D24-34958C9CFF56}"/>
    <cellStyle name="Normal 5 4" xfId="63" xr:uid="{27B9BF53-96C0-4643-8412-9280AF358A10}"/>
    <cellStyle name="Normal 5 4 2" xfId="380" xr:uid="{A4E260DC-E3CE-4BB0-A372-3252DF1AA06F}"/>
    <cellStyle name="Normal 5 4 2 2" xfId="512" xr:uid="{E808DDD5-02F4-4579-87DA-587D815AE4EA}"/>
    <cellStyle name="Normal 5 4 2 2 2" xfId="439" xr:uid="{C2285C38-ED32-4F62-8932-0A99F974A130}"/>
    <cellStyle name="Normal 5 4 2 3" xfId="83" xr:uid="{E5BD7CEF-B8F4-49C2-B5E2-65B9DBBAE0F8}"/>
    <cellStyle name="Normal 5 4 3" xfId="513" xr:uid="{C3022801-5CC2-4B8D-8C0B-75A5153BE066}"/>
    <cellStyle name="Normal 5 4 3 2" xfId="173" xr:uid="{BC51B4E1-3C58-4F7B-AAFD-90CED30764CD}"/>
    <cellStyle name="Normal 5 4 4" xfId="514" xr:uid="{266DD9C4-8CFD-4D5D-B5FA-BD4540E15334}"/>
    <cellStyle name="Normal 5 5" xfId="74" xr:uid="{82BE0AD8-0E0A-4137-96CC-2B1EF777BA3D}"/>
    <cellStyle name="Normal 5 5 2" xfId="79" xr:uid="{58A3B94B-F806-49DB-B19D-DFCE734CDBEC}"/>
    <cellStyle name="Normal 5 5 2 2" xfId="123" xr:uid="{5719432A-A5C1-4CD1-96C4-69D5945CF967}"/>
    <cellStyle name="Normal 5 5 3" xfId="126" xr:uid="{2EC3FBDA-2734-4935-8F34-BE3586ED2269}"/>
    <cellStyle name="Normal 5 6" xfId="76" xr:uid="{75DA4987-992A-4FDC-9D8C-8FCD328E9B17}"/>
    <cellStyle name="Normal 5 6 2" xfId="128" xr:uid="{9129D360-2A30-4542-BAC3-594AF26AF57B}"/>
    <cellStyle name="Normal 5 7" xfId="132" xr:uid="{43169268-3BBF-44EA-A8FC-76F2A92B5A04}"/>
    <cellStyle name="Normal 5 8" xfId="610" xr:uid="{40DDD8E4-FB7E-40BC-9BF6-2F0F1C0552E1}"/>
    <cellStyle name="Normal 5 9" xfId="444" xr:uid="{2198CF54-44CF-4E32-BD99-AE8BA43E5BCD}"/>
    <cellStyle name="Normal 5_Item C7" xfId="515" xr:uid="{09EDA52D-7421-4DF1-8B3A-0B2D4BBDD9F7}"/>
    <cellStyle name="Normal 6" xfId="41" xr:uid="{00000000-0005-0000-0000-000028000000}"/>
    <cellStyle name="Normal 6 2" xfId="516" xr:uid="{3DDA9030-2B0D-4643-9463-AA8641CB7FB7}"/>
    <cellStyle name="Normal 6 3" xfId="517" xr:uid="{4FD4119B-4762-4A09-87CB-A34FB2163214}"/>
    <cellStyle name="Normal 6 3 2" xfId="518" xr:uid="{69B36F8B-C8A0-499C-A8D0-23420A5683BA}"/>
    <cellStyle name="Normal 6 3 3" xfId="519" xr:uid="{BF2E0669-E254-47AB-99DF-2A8AF46FA731}"/>
    <cellStyle name="Normal 6 3 4" xfId="634" xr:uid="{C312D1F3-CAE2-4262-9F02-00E756B08378}"/>
    <cellStyle name="Normal 6 4" xfId="626" xr:uid="{698D3F92-3A09-4BA5-83DD-14A92C97BFA5}"/>
    <cellStyle name="Normal 6 5" xfId="448" xr:uid="{45E57C85-81E0-449B-8CC7-2323FA882A5C}"/>
    <cellStyle name="Normal 7" xfId="46" xr:uid="{E51F632F-1116-436A-ABB7-362ACF44F807}"/>
    <cellStyle name="Normal 7 2" xfId="68" xr:uid="{8AAA9CB0-C2CB-418F-928E-ECF08E38E3A6}"/>
    <cellStyle name="Normal 7 3" xfId="520" xr:uid="{713D0FC5-F76E-4CE4-91DD-96E293F18450}"/>
    <cellStyle name="Normal 8" xfId="42" xr:uid="{00000000-0005-0000-0000-000029000000}"/>
    <cellStyle name="Normal 8 2" xfId="522" xr:uid="{53327FB5-6200-4C1C-B59E-04E915BB693E}"/>
    <cellStyle name="Normal 8 2 2" xfId="523" xr:uid="{BD9CF3F4-624A-41B8-BF9C-3B66C75A43CF}"/>
    <cellStyle name="Normal 8 2 2 2" xfId="524" xr:uid="{C0A486F7-040B-4076-839E-DCDD51BB2EF1}"/>
    <cellStyle name="Normal 8 2 2 2 2" xfId="525" xr:uid="{E5F22487-26B0-498B-B407-FC3E4C00358C}"/>
    <cellStyle name="Normal 8 2 2 2 2 2" xfId="526" xr:uid="{FB3F928A-D580-438E-964D-E78DC2B16692}"/>
    <cellStyle name="Normal 8 2 2 2 3" xfId="527" xr:uid="{34F0122B-C4FC-4830-AFBE-5BC2E0DA22FF}"/>
    <cellStyle name="Normal 8 2 2 3" xfId="528" xr:uid="{78D0F7D3-CFFB-4393-B60A-9198D3B80106}"/>
    <cellStyle name="Normal 8 2 2 3 2" xfId="529" xr:uid="{E4E40D73-3D03-49AC-BC3C-2C2163CBAC20}"/>
    <cellStyle name="Normal 8 2 2 4" xfId="530" xr:uid="{D2D9A481-49CF-44DA-9236-1B79D1B789CB}"/>
    <cellStyle name="Normal 8 2 3" xfId="531" xr:uid="{DBFC7D0E-268F-4119-9739-6E4947FA04CB}"/>
    <cellStyle name="Normal 8 2 3 2" xfId="532" xr:uid="{4B242EFA-E09A-4CFE-A1D7-C911E34F4E73}"/>
    <cellStyle name="Normal 8 2 3 2 2" xfId="533" xr:uid="{09D11939-2E8D-451F-ACD4-F7B5CA62AC7D}"/>
    <cellStyle name="Normal 8 2 3 3" xfId="534" xr:uid="{CC3AFB8C-1A51-40DC-8055-7DB67E08CECE}"/>
    <cellStyle name="Normal 8 2 4" xfId="535" xr:uid="{65938EFA-3A62-4EF1-B46F-E0A9FFCDAD8F}"/>
    <cellStyle name="Normal 8 2 4 2" xfId="536" xr:uid="{8D711359-CAAC-45CE-B28A-57DA7FE8C1AD}"/>
    <cellStyle name="Normal 8 2 5" xfId="537" xr:uid="{7F9ED44A-4B7B-4996-A7B3-9C865E53944A}"/>
    <cellStyle name="Normal 8 3" xfId="538" xr:uid="{ED1C6DFE-8FE4-4E42-9A2D-F339F2E183DE}"/>
    <cellStyle name="Normal 8 3 2" xfId="539" xr:uid="{CACF5CA2-EF22-46CF-81E1-C9611744E7A4}"/>
    <cellStyle name="Normal 8 3 2 2" xfId="540" xr:uid="{BE9D90D1-4D56-4773-835B-D7E707F07F45}"/>
    <cellStyle name="Normal 8 3 2 2 2" xfId="541" xr:uid="{621F394D-2BA0-4052-93AA-ED80A60D2065}"/>
    <cellStyle name="Normal 8 3 2 3" xfId="542" xr:uid="{29617020-D527-4D02-93B0-C73B7E6B5F81}"/>
    <cellStyle name="Normal 8 3 3" xfId="543" xr:uid="{C7BC1FF6-4974-4F62-A5D0-4A9FB01830B5}"/>
    <cellStyle name="Normal 8 3 3 2" xfId="544" xr:uid="{A53878C6-DF87-4431-84F6-1E54DAE3A9CC}"/>
    <cellStyle name="Normal 8 3 4" xfId="545" xr:uid="{6F4B8029-08BE-4CEA-888E-393D47D81E68}"/>
    <cellStyle name="Normal 8 4" xfId="546" xr:uid="{0FD928E1-03E0-4CA9-9F13-69CC9E6F491E}"/>
    <cellStyle name="Normal 8 4 2" xfId="547" xr:uid="{7D8C09CB-E939-4FDC-8D78-06F9194C598C}"/>
    <cellStyle name="Normal 8 4 2 2" xfId="548" xr:uid="{B623112C-5205-4C10-B2C1-09C0F509667F}"/>
    <cellStyle name="Normal 8 4 3" xfId="549" xr:uid="{E14FD9DB-B26F-4BA5-AC43-7508451553AC}"/>
    <cellStyle name="Normal 8 5" xfId="550" xr:uid="{2E274632-5DFD-4275-AD82-28D0B23F8043}"/>
    <cellStyle name="Normal 8 5 2" xfId="551" xr:uid="{460D579A-D723-4360-B790-07BEA4010854}"/>
    <cellStyle name="Normal 8 6" xfId="92" xr:uid="{E0298BD7-E048-49F3-8790-4038FFD91E52}"/>
    <cellStyle name="Normal 8 7" xfId="627" xr:uid="{154E1946-7AE1-4593-8439-E230037F3B56}"/>
    <cellStyle name="Normal 8 8" xfId="521" xr:uid="{D8554A2F-871C-4C6E-9A5A-95009F28B13D}"/>
    <cellStyle name="Normal 8_Item C7" xfId="331" xr:uid="{D609E760-DDAD-43C5-AB32-F5568B5EB4EE}"/>
    <cellStyle name="Normal 9" xfId="53" xr:uid="{11123F91-FEC8-4434-A748-0A5F6E09081F}"/>
    <cellStyle name="Normal 9 2" xfId="553" xr:uid="{B1A8A712-A3A9-43D6-85AA-854C06AE82E8}"/>
    <cellStyle name="Normal 9 2 2" xfId="554" xr:uid="{040826FB-89C4-4E7C-9C7B-977452BE0423}"/>
    <cellStyle name="Normal 9 2 2 2" xfId="555" xr:uid="{01DD594E-AFD7-4284-A513-545C5F004A24}"/>
    <cellStyle name="Normal 9 2 2 2 2" xfId="250" xr:uid="{A06461B5-1944-418C-BEA3-4DB668256AB9}"/>
    <cellStyle name="Normal 9 2 2 2 2 2" xfId="252" xr:uid="{9F4F41C1-E2F7-41B5-8DB8-AF07B22B5A96}"/>
    <cellStyle name="Normal 9 2 2 2 3" xfId="206" xr:uid="{63E9E5E6-10D1-421A-8EBF-F9DA5E807D4C}"/>
    <cellStyle name="Normal 9 2 2 3" xfId="556" xr:uid="{93E18C12-01FD-4BB4-A208-E54AF9218504}"/>
    <cellStyle name="Normal 9 2 2 3 2" xfId="260" xr:uid="{11F84A94-5DAA-4E2C-8194-76F897B27746}"/>
    <cellStyle name="Normal 9 2 2 4" xfId="557" xr:uid="{2C83719F-0AA8-4743-838A-598A377AB8ED}"/>
    <cellStyle name="Normal 9 2 3" xfId="558" xr:uid="{0CE4F529-979E-47A5-84EC-B061E0978729}"/>
    <cellStyle name="Normal 9 2 3 2" xfId="559" xr:uid="{17BF21B8-B975-4C90-9F11-24DF8944366C}"/>
    <cellStyle name="Normal 9 2 3 2 2" xfId="70" xr:uid="{237F8F23-5E69-4362-9A85-339950DFF613}"/>
    <cellStyle name="Normal 9 2 3 3" xfId="560" xr:uid="{0724F1D8-48DC-4B0A-8F08-4F28302F0D63}"/>
    <cellStyle name="Normal 9 2 4" xfId="561" xr:uid="{FC075D17-D102-41AE-9E44-18D3BCC05B96}"/>
    <cellStyle name="Normal 9 2 4 2" xfId="562" xr:uid="{56229C73-FB08-4E86-8FED-3B107BA996E2}"/>
    <cellStyle name="Normal 9 2 5" xfId="563" xr:uid="{12B048AD-3EFC-4CE4-8A26-8DE09828DADC}"/>
    <cellStyle name="Normal 9 3" xfId="564" xr:uid="{C5EF0D10-3805-4675-94BB-1DD6F1F6F8FF}"/>
    <cellStyle name="Normal 9 3 2" xfId="565" xr:uid="{BB666B90-B580-4207-ADE8-39D4F0039F0C}"/>
    <cellStyle name="Normal 9 3 2 2" xfId="566" xr:uid="{E5057157-FD1E-488C-AD66-9DB3E11B43A7}"/>
    <cellStyle name="Normal 9 3 2 2 2" xfId="567" xr:uid="{14B35E7F-BB97-45CF-919D-AAAAB7E73EF6}"/>
    <cellStyle name="Normal 9 3 2 3" xfId="568" xr:uid="{55ED4959-79B6-41EA-9618-B38DEF5C30AD}"/>
    <cellStyle name="Normal 9 3 3" xfId="569" xr:uid="{A1149626-FCE1-4974-B0F9-26F62BDB0AA6}"/>
    <cellStyle name="Normal 9 3 3 2" xfId="570" xr:uid="{A6AC39E1-6208-4A07-81B9-585C34B561BF}"/>
    <cellStyle name="Normal 9 3 4" xfId="571" xr:uid="{0E07A30D-177A-4A3D-8AAE-E64446A63691}"/>
    <cellStyle name="Normal 9 4" xfId="572" xr:uid="{0B9A8C65-FAF7-4CCB-A1F8-B0FF32DC1B9C}"/>
    <cellStyle name="Normal 9 5" xfId="573" xr:uid="{203B2F21-5E48-4DCD-A84F-9A0551776582}"/>
    <cellStyle name="Normal 9 5 2" xfId="574" xr:uid="{0577A816-A3E6-4A9B-89D5-FB261A2C92B0}"/>
    <cellStyle name="Normal 9 6" xfId="575" xr:uid="{3F14C5C6-DB8D-4E6C-B4BB-30A031F6896C}"/>
    <cellStyle name="Normal 9 7" xfId="552" xr:uid="{94511D02-8CBD-481C-BE37-5A6CC1A18C4E}"/>
    <cellStyle name="Normal_Draft Rent &amp; Unit Mix Sheet" xfId="21" xr:uid="{00000000-0005-0000-0000-00002A000000}"/>
    <cellStyle name="Normal_Lachen Tara draft serna project report" xfId="4" xr:uid="{00000000-0005-0000-0000-00002B000000}"/>
    <cellStyle name="Note 2" xfId="576" xr:uid="{4A4B0D47-A486-4351-8B37-72CA5E52306D}"/>
    <cellStyle name="Note 2 2" xfId="577" xr:uid="{79EAE2CC-6F88-4385-AECE-78013861F0B9}"/>
    <cellStyle name="Note 2 2 2" xfId="578" xr:uid="{76252429-93A5-43D1-BF8B-475730E86394}"/>
    <cellStyle name="Note 2 2 2 2" xfId="579" xr:uid="{FCDFF0F7-29B2-4A25-A883-BF1FA42D71D6}"/>
    <cellStyle name="Note 2 2 3" xfId="580" xr:uid="{8018BE64-A0A7-4F7C-BE6A-FC956F8D80D4}"/>
    <cellStyle name="Note 2 3" xfId="581" xr:uid="{1608BC5D-AFE4-4BCE-93A3-AC80AD05E44B}"/>
    <cellStyle name="Note 2 3 2" xfId="582" xr:uid="{BC672F70-ABD4-41F2-B183-34449C333AD7}"/>
    <cellStyle name="Note 2 4" xfId="583" xr:uid="{ED876A14-9776-4C15-985E-AFC7628537FF}"/>
    <cellStyle name="Note 2 5" xfId="584" xr:uid="{0ACCAA15-48B8-415C-B6BB-3627CC649CFF}"/>
    <cellStyle name="Note 3" xfId="585" xr:uid="{8E124CC4-C09A-41F9-B1CB-5A2C3C9A0498}"/>
    <cellStyle name="Note 3 2" xfId="586" xr:uid="{07A22932-3235-4244-A121-A4E69F39056D}"/>
    <cellStyle name="Note 3 2 2" xfId="587" xr:uid="{254D6F3B-117A-4E40-9A15-B57E612B8369}"/>
    <cellStyle name="Note 3 2 2 2" xfId="588" xr:uid="{A2DC09B4-1B2D-4BF2-A5A7-86197A68B59F}"/>
    <cellStyle name="Note 3 2 3" xfId="589" xr:uid="{6587C8EC-82D6-41C0-B044-BB134A805F8C}"/>
    <cellStyle name="Note 3 3" xfId="590" xr:uid="{9067FF21-2C34-40B7-ABE9-ED21DE8012B5}"/>
    <cellStyle name="Note 3 3 2" xfId="591" xr:uid="{F841B9C9-F60F-4941-BA9D-AE7290335F4C}"/>
    <cellStyle name="Note 3 4" xfId="592" xr:uid="{B3087A6D-3173-439D-9A07-05C4504C55CE}"/>
    <cellStyle name="Note 3 5" xfId="593" xr:uid="{47A2E441-6CAE-47EB-95B1-1AB731D7AE6F}"/>
    <cellStyle name="Output 2" xfId="594" xr:uid="{E3598F8A-68FB-4944-B929-5F2F5E553207}"/>
    <cellStyle name="Percent 2" xfId="12" xr:uid="{00000000-0005-0000-0000-00002C000000}"/>
    <cellStyle name="Percent 2 2" xfId="595" xr:uid="{2C19E1AB-1E29-46D1-873E-006CD7F3C51A}"/>
    <cellStyle name="Percent 3" xfId="596" xr:uid="{63F39DE4-BF92-4DFC-B325-1D4F3F060DBE}"/>
    <cellStyle name="Percent 4" xfId="597" xr:uid="{7CEFF7DC-A029-4583-AE84-09C1FEA506E8}"/>
    <cellStyle name="Percent 5" xfId="598" xr:uid="{230A2A2F-A286-40DA-A583-3A1A694C35E2}"/>
    <cellStyle name="Percent 6" xfId="599" xr:uid="{6D623C01-2E5E-471D-B766-6FE65011DCF3}"/>
    <cellStyle name="Text Entry" xfId="5" xr:uid="{00000000-0005-0000-0000-00002D000000}"/>
    <cellStyle name="Title 2" xfId="600" xr:uid="{F405331E-5226-4F56-8B77-507E9437EEB2}"/>
    <cellStyle name="Total 2" xfId="601" xr:uid="{DB481946-F5B1-480E-A944-C809460469BC}"/>
  </cellStyles>
  <dxfs count="166">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rgb="FF92D050"/>
        </patternFill>
      </fill>
    </dxf>
    <dxf>
      <fill>
        <patternFill>
          <bgColor rgb="FF00B0F0"/>
        </patternFill>
      </fill>
    </dxf>
    <dxf>
      <font>
        <color theme="0"/>
      </font>
      <fill>
        <patternFill>
          <bgColor rgb="FF00206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F0"/>
        </patternFill>
      </fill>
    </dxf>
    <dxf>
      <font>
        <color theme="0"/>
      </font>
      <fill>
        <patternFill>
          <bgColor rgb="FF002060"/>
        </patternFill>
      </fill>
    </dxf>
    <dxf>
      <fill>
        <patternFill>
          <bgColor rgb="FFFFFF00"/>
        </patternFill>
      </fill>
    </dxf>
    <dxf>
      <fill>
        <patternFill>
          <bgColor rgb="FFFFC000"/>
        </patternFill>
      </fill>
    </dxf>
    <dxf>
      <fill>
        <patternFill>
          <bgColor rgb="FFFF000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rgb="FFC00000"/>
        </patternFill>
      </fill>
    </dxf>
    <dxf>
      <fill>
        <patternFill>
          <bgColor rgb="FFC00000"/>
        </patternFill>
      </fill>
    </dxf>
    <dxf>
      <fill>
        <patternFill>
          <bgColor rgb="FFC0000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patternFill>
          <bgColor rgb="FFC00000"/>
        </pattern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
      <fill>
        <gradientFill degree="90">
          <stop position="0">
            <color theme="0"/>
          </stop>
          <stop position="1">
            <color rgb="FFFF8585"/>
          </stop>
        </gradient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8585"/>
      <color rgb="FF0000FF"/>
      <color rgb="FFE1FFE1"/>
      <color rgb="FF92D050"/>
      <color rgb="FF60497A"/>
      <color rgb="FF366092"/>
      <color rgb="FF33CC33"/>
      <color rgb="FF00660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149225</xdr:colOff>
      <xdr:row>12</xdr:row>
      <xdr:rowOff>115166</xdr:rowOff>
    </xdr:from>
    <xdr:to>
      <xdr:col>15</xdr:col>
      <xdr:colOff>66675</xdr:colOff>
      <xdr:row>25</xdr:row>
      <xdr:rowOff>104775</xdr:rowOff>
    </xdr:to>
    <xdr:pic>
      <xdr:nvPicPr>
        <xdr:cNvPr id="2" name="Picture 1">
          <a:extLst>
            <a:ext uri="{FF2B5EF4-FFF2-40B4-BE49-F238E27FC236}">
              <a16:creationId xmlns:a16="http://schemas.microsoft.com/office/drawing/2014/main" id="{C9895855-8763-40C3-869C-DDD57A0F5F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11375" y="1915391"/>
          <a:ext cx="2127250" cy="197080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45</xdr:row>
      <xdr:rowOff>0</xdr:rowOff>
    </xdr:from>
    <xdr:to>
      <xdr:col>8</xdr:col>
      <xdr:colOff>714375</xdr:colOff>
      <xdr:row>86</xdr:row>
      <xdr:rowOff>0</xdr:rowOff>
    </xdr:to>
    <xdr:sp macro="" textlink="">
      <xdr:nvSpPr>
        <xdr:cNvPr id="103474" name="Check Box 50" hidden="1">
          <a:extLst>
            <a:ext uri="{63B3BB69-23CF-44E3-9099-C40C66FF867C}">
              <a14:compatExt xmlns:a14="http://schemas.microsoft.com/office/drawing/2010/main" spid="_x0000_s103474"/>
            </a:ext>
            <a:ext uri="{FF2B5EF4-FFF2-40B4-BE49-F238E27FC236}">
              <a16:creationId xmlns:a16="http://schemas.microsoft.com/office/drawing/2014/main" id="{00000000-0008-0000-0300-000032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SPACE</a:t>
          </a:r>
        </a:p>
      </xdr:txBody>
    </xdr:sp>
    <xdr:clientData/>
  </xdr:twoCellAnchor>
  <xdr:twoCellAnchor>
    <xdr:from>
      <xdr:col>6</xdr:col>
      <xdr:colOff>333375</xdr:colOff>
      <xdr:row>13</xdr:row>
      <xdr:rowOff>0</xdr:rowOff>
    </xdr:from>
    <xdr:to>
      <xdr:col>7</xdr:col>
      <xdr:colOff>400050</xdr:colOff>
      <xdr:row>27</xdr:row>
      <xdr:rowOff>66675</xdr:rowOff>
    </xdr:to>
    <xdr:sp macro="" textlink="">
      <xdr:nvSpPr>
        <xdr:cNvPr id="10347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0000000-0008-0000-0300-000033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30</xdr:row>
      <xdr:rowOff>114300</xdr:rowOff>
    </xdr:from>
    <xdr:to>
      <xdr:col>35</xdr:col>
      <xdr:colOff>723900</xdr:colOff>
      <xdr:row>31</xdr:row>
      <xdr:rowOff>0</xdr:rowOff>
    </xdr:to>
    <xdr:sp macro="" textlink="">
      <xdr:nvSpPr>
        <xdr:cNvPr id="103476"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0000000-0008-0000-0300-000034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editAs="absolute">
    <xdr:from>
      <xdr:col>17</xdr:col>
      <xdr:colOff>142010</xdr:colOff>
      <xdr:row>26</xdr:row>
      <xdr:rowOff>140279</xdr:rowOff>
    </xdr:from>
    <xdr:to>
      <xdr:col>22</xdr:col>
      <xdr:colOff>11835</xdr:colOff>
      <xdr:row>28</xdr:row>
      <xdr:rowOff>140277</xdr:rowOff>
    </xdr:to>
    <xdr:sp macro="" textlink="">
      <xdr:nvSpPr>
        <xdr:cNvPr id="103426" name="Text Box 2" hidden="1">
          <a:extLst>
            <a:ext uri="{FF2B5EF4-FFF2-40B4-BE49-F238E27FC236}">
              <a16:creationId xmlns:a16="http://schemas.microsoft.com/office/drawing/2014/main" id="{00000000-0008-0000-0300-000002940100}"/>
            </a:ext>
          </a:extLst>
        </xdr:cNvPr>
        <xdr:cNvSpPr txBox="1">
          <a:spLocks noChangeArrowheads="1"/>
        </xdr:cNvSpPr>
      </xdr:nvSpPr>
      <xdr:spPr bwMode="auto">
        <a:xfrm>
          <a:off x="4819650" y="5924550"/>
          <a:ext cx="1209675" cy="41910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7</xdr:col>
      <xdr:colOff>400050</xdr:colOff>
      <xdr:row>13</xdr:row>
      <xdr:rowOff>0</xdr:rowOff>
    </xdr:from>
    <xdr:to>
      <xdr:col>8</xdr:col>
      <xdr:colOff>914400</xdr:colOff>
      <xdr:row>27</xdr:row>
      <xdr:rowOff>66675</xdr:rowOff>
    </xdr:to>
    <xdr:sp macro="" textlink="">
      <xdr:nvSpPr>
        <xdr:cNvPr id="10351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0000000-0008-0000-0300-00005A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29</xdr:row>
      <xdr:rowOff>66675</xdr:rowOff>
    </xdr:from>
    <xdr:to>
      <xdr:col>5</xdr:col>
      <xdr:colOff>723900</xdr:colOff>
      <xdr:row>33</xdr:row>
      <xdr:rowOff>0</xdr:rowOff>
    </xdr:to>
    <xdr:sp macro="" textlink="">
      <xdr:nvSpPr>
        <xdr:cNvPr id="103528"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0000000-0008-0000-0300-000068940100}"/>
            </a:ext>
          </a:extLst>
        </xdr:cNvPr>
        <xdr:cNvSpPr/>
      </xdr:nvSpPr>
      <xdr:spPr bwMode="auto">
        <a:xfrm>
          <a:off x="0" y="0"/>
          <a:ext cx="0" cy="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323850</xdr:colOff>
      <xdr:row>45</xdr:row>
      <xdr:rowOff>0</xdr:rowOff>
    </xdr:from>
    <xdr:to>
      <xdr:col>8</xdr:col>
      <xdr:colOff>714375</xdr:colOff>
      <xdr:row>86</xdr:row>
      <xdr:rowOff>0</xdr:rowOff>
    </xdr:to>
    <xdr:sp macro="" textlink="">
      <xdr:nvSpPr>
        <xdr:cNvPr id="103535" name="Check Box 111" hidden="1">
          <a:extLst>
            <a:ext uri="{63B3BB69-23CF-44E3-9099-C40C66FF867C}">
              <a14:compatExt xmlns:a14="http://schemas.microsoft.com/office/drawing/2010/main" spid="_x0000_s103535"/>
            </a:ext>
            <a:ext uri="{FF2B5EF4-FFF2-40B4-BE49-F238E27FC236}">
              <a16:creationId xmlns:a16="http://schemas.microsoft.com/office/drawing/2014/main" id="{00000000-0008-0000-0300-00006F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SPACE</a:t>
          </a:r>
        </a:p>
      </xdr:txBody>
    </xdr:sp>
    <xdr:clientData/>
  </xdr:twoCellAnchor>
  <xdr:twoCellAnchor>
    <xdr:from>
      <xdr:col>6</xdr:col>
      <xdr:colOff>333375</xdr:colOff>
      <xdr:row>13</xdr:row>
      <xdr:rowOff>0</xdr:rowOff>
    </xdr:from>
    <xdr:to>
      <xdr:col>7</xdr:col>
      <xdr:colOff>400050</xdr:colOff>
      <xdr:row>27</xdr:row>
      <xdr:rowOff>66675</xdr:rowOff>
    </xdr:to>
    <xdr:sp macro="" textlink="">
      <xdr:nvSpPr>
        <xdr:cNvPr id="103536"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0000000-0008-0000-0300-000070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30</xdr:row>
      <xdr:rowOff>114300</xdr:rowOff>
    </xdr:from>
    <xdr:to>
      <xdr:col>35</xdr:col>
      <xdr:colOff>723900</xdr:colOff>
      <xdr:row>31</xdr:row>
      <xdr:rowOff>0</xdr:rowOff>
    </xdr:to>
    <xdr:sp macro="" textlink="">
      <xdr:nvSpPr>
        <xdr:cNvPr id="103537"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000000-0008-0000-0300-000071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13</xdr:row>
      <xdr:rowOff>0</xdr:rowOff>
    </xdr:from>
    <xdr:to>
      <xdr:col>8</xdr:col>
      <xdr:colOff>914400</xdr:colOff>
      <xdr:row>27</xdr:row>
      <xdr:rowOff>66675</xdr:rowOff>
    </xdr:to>
    <xdr:sp macro="" textlink="">
      <xdr:nvSpPr>
        <xdr:cNvPr id="10353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0000000-0008-0000-0300-000072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29</xdr:row>
      <xdr:rowOff>66675</xdr:rowOff>
    </xdr:from>
    <xdr:to>
      <xdr:col>5</xdr:col>
      <xdr:colOff>723900</xdr:colOff>
      <xdr:row>33</xdr:row>
      <xdr:rowOff>0</xdr:rowOff>
    </xdr:to>
    <xdr:sp macro="" textlink="">
      <xdr:nvSpPr>
        <xdr:cNvPr id="103539"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0000000-0008-0000-0300-0000739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13</xdr:row>
      <xdr:rowOff>0</xdr:rowOff>
    </xdr:from>
    <xdr:to>
      <xdr:col>7</xdr:col>
      <xdr:colOff>400050</xdr:colOff>
      <xdr:row>27</xdr:row>
      <xdr:rowOff>66675</xdr:rowOff>
    </xdr:to>
    <xdr:sp macro="" textlink="">
      <xdr:nvSpPr>
        <xdr:cNvPr id="14"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366E0FF7-FD3A-4A2F-BEF1-E93FC850FB3A}"/>
            </a:ext>
          </a:extLst>
        </xdr:cNvPr>
        <xdr:cNvSpPr/>
      </xdr:nvSpPr>
      <xdr:spPr bwMode="auto">
        <a:xfrm>
          <a:off x="6343650" y="333375"/>
          <a:ext cx="109537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30</xdr:row>
      <xdr:rowOff>114300</xdr:rowOff>
    </xdr:from>
    <xdr:to>
      <xdr:col>35</xdr:col>
      <xdr:colOff>723900</xdr:colOff>
      <xdr:row>31</xdr:row>
      <xdr:rowOff>0</xdr:rowOff>
    </xdr:to>
    <xdr:sp macro="" textlink="">
      <xdr:nvSpPr>
        <xdr:cNvPr id="15"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1DBC61BD-ED11-4B7E-A5EE-E044F1C5627D}"/>
            </a:ext>
          </a:extLst>
        </xdr:cNvPr>
        <xdr:cNvSpPr/>
      </xdr:nvSpPr>
      <xdr:spPr bwMode="auto">
        <a:xfrm>
          <a:off x="6343650" y="819150"/>
          <a:ext cx="21050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13</xdr:row>
      <xdr:rowOff>0</xdr:rowOff>
    </xdr:from>
    <xdr:to>
      <xdr:col>8</xdr:col>
      <xdr:colOff>914400</xdr:colOff>
      <xdr:row>27</xdr:row>
      <xdr:rowOff>66675</xdr:rowOff>
    </xdr:to>
    <xdr:sp macro="" textlink="">
      <xdr:nvSpPr>
        <xdr:cNvPr id="1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60A15170-182A-4F86-9D99-79E50DEB2AA0}"/>
            </a:ext>
          </a:extLst>
        </xdr:cNvPr>
        <xdr:cNvSpPr/>
      </xdr:nvSpPr>
      <xdr:spPr bwMode="auto">
        <a:xfrm>
          <a:off x="7439025" y="333375"/>
          <a:ext cx="12001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29</xdr:row>
      <xdr:rowOff>66675</xdr:rowOff>
    </xdr:from>
    <xdr:to>
      <xdr:col>5</xdr:col>
      <xdr:colOff>723900</xdr:colOff>
      <xdr:row>33</xdr:row>
      <xdr:rowOff>0</xdr:rowOff>
    </xdr:to>
    <xdr:sp macro="" textlink="">
      <xdr:nvSpPr>
        <xdr:cNvPr id="17"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922F0747-780A-48CD-B1A3-7E91CF8307DF}"/>
            </a:ext>
          </a:extLst>
        </xdr:cNvPr>
        <xdr:cNvSpPr/>
      </xdr:nvSpPr>
      <xdr:spPr bwMode="auto">
        <a:xfrm>
          <a:off x="6343650" y="581025"/>
          <a:ext cx="210502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13</xdr:row>
      <xdr:rowOff>0</xdr:rowOff>
    </xdr:from>
    <xdr:to>
      <xdr:col>7</xdr:col>
      <xdr:colOff>400050</xdr:colOff>
      <xdr:row>27</xdr:row>
      <xdr:rowOff>66675</xdr:rowOff>
    </xdr:to>
    <xdr:sp macro="" textlink="">
      <xdr:nvSpPr>
        <xdr:cNvPr id="1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2A28EFDC-78D1-4FBC-B1A7-625D74550C6A}"/>
            </a:ext>
          </a:extLst>
        </xdr:cNvPr>
        <xdr:cNvSpPr/>
      </xdr:nvSpPr>
      <xdr:spPr bwMode="auto">
        <a:xfrm>
          <a:off x="6343650" y="333375"/>
          <a:ext cx="109537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30</xdr:row>
      <xdr:rowOff>114300</xdr:rowOff>
    </xdr:from>
    <xdr:to>
      <xdr:col>35</xdr:col>
      <xdr:colOff>723900</xdr:colOff>
      <xdr:row>31</xdr:row>
      <xdr:rowOff>0</xdr:rowOff>
    </xdr:to>
    <xdr:sp macro="" textlink="">
      <xdr:nvSpPr>
        <xdr:cNvPr id="2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95C4389C-61F6-4423-BAB4-A076DD7CB68E}"/>
            </a:ext>
          </a:extLst>
        </xdr:cNvPr>
        <xdr:cNvSpPr/>
      </xdr:nvSpPr>
      <xdr:spPr bwMode="auto">
        <a:xfrm>
          <a:off x="6343650" y="819150"/>
          <a:ext cx="21050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13</xdr:row>
      <xdr:rowOff>0</xdr:rowOff>
    </xdr:from>
    <xdr:to>
      <xdr:col>8</xdr:col>
      <xdr:colOff>914400</xdr:colOff>
      <xdr:row>27</xdr:row>
      <xdr:rowOff>66675</xdr:rowOff>
    </xdr:to>
    <xdr:sp macro="" textlink="">
      <xdr:nvSpPr>
        <xdr:cNvPr id="21"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ECB60D1A-E3EA-4BE3-ABAD-BAE8F4D842F4}"/>
            </a:ext>
          </a:extLst>
        </xdr:cNvPr>
        <xdr:cNvSpPr/>
      </xdr:nvSpPr>
      <xdr:spPr bwMode="auto">
        <a:xfrm>
          <a:off x="7439025" y="333375"/>
          <a:ext cx="12001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29</xdr:row>
      <xdr:rowOff>66675</xdr:rowOff>
    </xdr:from>
    <xdr:to>
      <xdr:col>5</xdr:col>
      <xdr:colOff>723900</xdr:colOff>
      <xdr:row>33</xdr:row>
      <xdr:rowOff>0</xdr:rowOff>
    </xdr:to>
    <xdr:sp macro="" textlink="">
      <xdr:nvSpPr>
        <xdr:cNvPr id="22"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1B2F32F1-0D43-47C3-8313-E450F9982A1C}"/>
            </a:ext>
          </a:extLst>
        </xdr:cNvPr>
        <xdr:cNvSpPr/>
      </xdr:nvSpPr>
      <xdr:spPr bwMode="auto">
        <a:xfrm>
          <a:off x="6343650" y="581025"/>
          <a:ext cx="210502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3</xdr:col>
      <xdr:colOff>333375</xdr:colOff>
      <xdr:row>29</xdr:row>
      <xdr:rowOff>9525</xdr:rowOff>
    </xdr:from>
    <xdr:to>
      <xdr:col>4</xdr:col>
      <xdr:colOff>400050</xdr:colOff>
      <xdr:row>31</xdr:row>
      <xdr:rowOff>66675</xdr:rowOff>
    </xdr:to>
    <xdr:sp macro="" textlink="">
      <xdr:nvSpPr>
        <xdr:cNvPr id="2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81DE4662-7D7A-4870-853F-8F5E4B749CE4}"/>
            </a:ext>
          </a:extLst>
        </xdr:cNvPr>
        <xdr:cNvSpPr/>
      </xdr:nvSpPr>
      <xdr:spPr bwMode="auto">
        <a:xfrm>
          <a:off x="6343650" y="333375"/>
          <a:ext cx="109537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29</xdr:row>
      <xdr:rowOff>9525</xdr:rowOff>
    </xdr:from>
    <xdr:to>
      <xdr:col>8</xdr:col>
      <xdr:colOff>914400</xdr:colOff>
      <xdr:row>31</xdr:row>
      <xdr:rowOff>66675</xdr:rowOff>
    </xdr:to>
    <xdr:sp macro="" textlink="">
      <xdr:nvSpPr>
        <xdr:cNvPr id="2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B92155E0-C79E-4951-B8D2-039D510CAD29}"/>
            </a:ext>
          </a:extLst>
        </xdr:cNvPr>
        <xdr:cNvSpPr/>
      </xdr:nvSpPr>
      <xdr:spPr bwMode="auto">
        <a:xfrm>
          <a:off x="7439025" y="333375"/>
          <a:ext cx="12001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29</xdr:row>
      <xdr:rowOff>9525</xdr:rowOff>
    </xdr:from>
    <xdr:to>
      <xdr:col>4</xdr:col>
      <xdr:colOff>400050</xdr:colOff>
      <xdr:row>31</xdr:row>
      <xdr:rowOff>66675</xdr:rowOff>
    </xdr:to>
    <xdr:sp macro="" textlink="">
      <xdr:nvSpPr>
        <xdr:cNvPr id="2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64C556B0-6B9C-4A04-9D63-04CF029FA8A2}"/>
            </a:ext>
          </a:extLst>
        </xdr:cNvPr>
        <xdr:cNvSpPr/>
      </xdr:nvSpPr>
      <xdr:spPr bwMode="auto">
        <a:xfrm>
          <a:off x="6343650" y="333375"/>
          <a:ext cx="109537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29</xdr:row>
      <xdr:rowOff>9525</xdr:rowOff>
    </xdr:from>
    <xdr:to>
      <xdr:col>8</xdr:col>
      <xdr:colOff>914400</xdr:colOff>
      <xdr:row>31</xdr:row>
      <xdr:rowOff>66675</xdr:rowOff>
    </xdr:to>
    <xdr:sp macro="" textlink="">
      <xdr:nvSpPr>
        <xdr:cNvPr id="3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69257301-0F35-4B36-AF42-8B6B45091F71}"/>
            </a:ext>
          </a:extLst>
        </xdr:cNvPr>
        <xdr:cNvSpPr/>
      </xdr:nvSpPr>
      <xdr:spPr bwMode="auto">
        <a:xfrm>
          <a:off x="7439025" y="333375"/>
          <a:ext cx="12001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29</xdr:row>
      <xdr:rowOff>9525</xdr:rowOff>
    </xdr:from>
    <xdr:to>
      <xdr:col>4</xdr:col>
      <xdr:colOff>400050</xdr:colOff>
      <xdr:row>31</xdr:row>
      <xdr:rowOff>66675</xdr:rowOff>
    </xdr:to>
    <xdr:sp macro="" textlink="">
      <xdr:nvSpPr>
        <xdr:cNvPr id="3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012593DC-B109-4FB9-8D88-59689D79C4EE}"/>
            </a:ext>
          </a:extLst>
        </xdr:cNvPr>
        <xdr:cNvSpPr/>
      </xdr:nvSpPr>
      <xdr:spPr bwMode="auto">
        <a:xfrm>
          <a:off x="6343650" y="333375"/>
          <a:ext cx="109537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29</xdr:row>
      <xdr:rowOff>9525</xdr:rowOff>
    </xdr:from>
    <xdr:to>
      <xdr:col>8</xdr:col>
      <xdr:colOff>914400</xdr:colOff>
      <xdr:row>31</xdr:row>
      <xdr:rowOff>66675</xdr:rowOff>
    </xdr:to>
    <xdr:sp macro="" textlink="">
      <xdr:nvSpPr>
        <xdr:cNvPr id="3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B3FFA516-8EA3-431D-A745-90D3D42C0DE2}"/>
            </a:ext>
          </a:extLst>
        </xdr:cNvPr>
        <xdr:cNvSpPr/>
      </xdr:nvSpPr>
      <xdr:spPr bwMode="auto">
        <a:xfrm>
          <a:off x="7439025" y="333375"/>
          <a:ext cx="12001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3</xdr:col>
      <xdr:colOff>333375</xdr:colOff>
      <xdr:row>29</xdr:row>
      <xdr:rowOff>9525</xdr:rowOff>
    </xdr:from>
    <xdr:to>
      <xdr:col>4</xdr:col>
      <xdr:colOff>400050</xdr:colOff>
      <xdr:row>31</xdr:row>
      <xdr:rowOff>66675</xdr:rowOff>
    </xdr:to>
    <xdr:sp macro="" textlink="">
      <xdr:nvSpPr>
        <xdr:cNvPr id="3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3FEF72B6-0A31-4D83-B61B-F8C450B1D776}"/>
            </a:ext>
          </a:extLst>
        </xdr:cNvPr>
        <xdr:cNvSpPr/>
      </xdr:nvSpPr>
      <xdr:spPr bwMode="auto">
        <a:xfrm>
          <a:off x="6343650" y="333375"/>
          <a:ext cx="109537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29</xdr:row>
      <xdr:rowOff>9525</xdr:rowOff>
    </xdr:from>
    <xdr:to>
      <xdr:col>8</xdr:col>
      <xdr:colOff>914400</xdr:colOff>
      <xdr:row>31</xdr:row>
      <xdr:rowOff>66675</xdr:rowOff>
    </xdr:to>
    <xdr:sp macro="" textlink="">
      <xdr:nvSpPr>
        <xdr:cNvPr id="3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769CA702-B9CA-4013-92C2-882E11105335}"/>
            </a:ext>
          </a:extLst>
        </xdr:cNvPr>
        <xdr:cNvSpPr/>
      </xdr:nvSpPr>
      <xdr:spPr bwMode="auto">
        <a:xfrm>
          <a:off x="7439025" y="333375"/>
          <a:ext cx="12001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14</xdr:col>
      <xdr:colOff>400050</xdr:colOff>
      <xdr:row>27</xdr:row>
      <xdr:rowOff>66675</xdr:rowOff>
    </xdr:to>
    <xdr:sp macro="" textlink="">
      <xdr:nvSpPr>
        <xdr:cNvPr id="6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30AAC3F8-2731-4624-97A2-49EDF2F6AD96}"/>
            </a:ext>
          </a:extLst>
        </xdr:cNvPr>
        <xdr:cNvSpPr/>
      </xdr:nvSpPr>
      <xdr:spPr bwMode="auto">
        <a:xfrm>
          <a:off x="1997075" y="330200"/>
          <a:ext cx="2889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30</xdr:row>
      <xdr:rowOff>114300</xdr:rowOff>
    </xdr:from>
    <xdr:to>
      <xdr:col>11</xdr:col>
      <xdr:colOff>723900</xdr:colOff>
      <xdr:row>31</xdr:row>
      <xdr:rowOff>0</xdr:rowOff>
    </xdr:to>
    <xdr:sp macro="" textlink="">
      <xdr:nvSpPr>
        <xdr:cNvPr id="64"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BC4011C2-D0FE-4036-9C66-6287B7DFCB78}"/>
            </a:ext>
          </a:extLst>
        </xdr:cNvPr>
        <xdr:cNvSpPr/>
      </xdr:nvSpPr>
      <xdr:spPr bwMode="auto">
        <a:xfrm>
          <a:off x="1997075" y="1009650"/>
          <a:ext cx="57467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13</xdr:row>
      <xdr:rowOff>0</xdr:rowOff>
    </xdr:from>
    <xdr:to>
      <xdr:col>15</xdr:col>
      <xdr:colOff>914400</xdr:colOff>
      <xdr:row>27</xdr:row>
      <xdr:rowOff>66675</xdr:rowOff>
    </xdr:to>
    <xdr:sp macro="" textlink="">
      <xdr:nvSpPr>
        <xdr:cNvPr id="65"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280106F0-2FCA-4591-9E93-D4BBFA74316C}"/>
            </a:ext>
          </a:extLst>
        </xdr:cNvPr>
        <xdr:cNvSpPr/>
      </xdr:nvSpPr>
      <xdr:spPr bwMode="auto">
        <a:xfrm>
          <a:off x="2286000" y="330200"/>
          <a:ext cx="2857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29</xdr:row>
      <xdr:rowOff>66675</xdr:rowOff>
    </xdr:from>
    <xdr:to>
      <xdr:col>15</xdr:col>
      <xdr:colOff>723900</xdr:colOff>
      <xdr:row>33</xdr:row>
      <xdr:rowOff>0</xdr:rowOff>
    </xdr:to>
    <xdr:sp macro="" textlink="">
      <xdr:nvSpPr>
        <xdr:cNvPr id="66"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0A136C1D-1082-44A0-B9CD-9004FD35FA96}"/>
            </a:ext>
          </a:extLst>
        </xdr:cNvPr>
        <xdr:cNvSpPr/>
      </xdr:nvSpPr>
      <xdr:spPr bwMode="auto">
        <a:xfrm>
          <a:off x="1997075" y="577850"/>
          <a:ext cx="57467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13</xdr:row>
      <xdr:rowOff>0</xdr:rowOff>
    </xdr:from>
    <xdr:to>
      <xdr:col>14</xdr:col>
      <xdr:colOff>400050</xdr:colOff>
      <xdr:row>27</xdr:row>
      <xdr:rowOff>66675</xdr:rowOff>
    </xdr:to>
    <xdr:sp macro="" textlink="">
      <xdr:nvSpPr>
        <xdr:cNvPr id="6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FA93A2FB-A43A-4E39-A89A-A52EC159EE2F}"/>
            </a:ext>
          </a:extLst>
        </xdr:cNvPr>
        <xdr:cNvSpPr/>
      </xdr:nvSpPr>
      <xdr:spPr bwMode="auto">
        <a:xfrm>
          <a:off x="1997075" y="330200"/>
          <a:ext cx="2889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30</xdr:row>
      <xdr:rowOff>114300</xdr:rowOff>
    </xdr:from>
    <xdr:to>
      <xdr:col>11</xdr:col>
      <xdr:colOff>723900</xdr:colOff>
      <xdr:row>31</xdr:row>
      <xdr:rowOff>0</xdr:rowOff>
    </xdr:to>
    <xdr:sp macro="" textlink="">
      <xdr:nvSpPr>
        <xdr:cNvPr id="68"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3B2150EB-1DD7-4DE4-9B49-EBDFAC9635E2}"/>
            </a:ext>
          </a:extLst>
        </xdr:cNvPr>
        <xdr:cNvSpPr/>
      </xdr:nvSpPr>
      <xdr:spPr bwMode="auto">
        <a:xfrm>
          <a:off x="1997075" y="1009650"/>
          <a:ext cx="57467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13</xdr:row>
      <xdr:rowOff>0</xdr:rowOff>
    </xdr:from>
    <xdr:to>
      <xdr:col>15</xdr:col>
      <xdr:colOff>914400</xdr:colOff>
      <xdr:row>27</xdr:row>
      <xdr:rowOff>66675</xdr:rowOff>
    </xdr:to>
    <xdr:sp macro="" textlink="">
      <xdr:nvSpPr>
        <xdr:cNvPr id="69"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158B7255-16AF-4D02-B07B-8F94103C6123}"/>
            </a:ext>
          </a:extLst>
        </xdr:cNvPr>
        <xdr:cNvSpPr/>
      </xdr:nvSpPr>
      <xdr:spPr bwMode="auto">
        <a:xfrm>
          <a:off x="2286000" y="330200"/>
          <a:ext cx="2857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29</xdr:row>
      <xdr:rowOff>66675</xdr:rowOff>
    </xdr:from>
    <xdr:to>
      <xdr:col>15</xdr:col>
      <xdr:colOff>723900</xdr:colOff>
      <xdr:row>33</xdr:row>
      <xdr:rowOff>0</xdr:rowOff>
    </xdr:to>
    <xdr:sp macro="" textlink="">
      <xdr:nvSpPr>
        <xdr:cNvPr id="70"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CF37B50D-A2E6-4681-801E-055634412DF0}"/>
            </a:ext>
          </a:extLst>
        </xdr:cNvPr>
        <xdr:cNvSpPr/>
      </xdr:nvSpPr>
      <xdr:spPr bwMode="auto">
        <a:xfrm>
          <a:off x="1997075" y="577850"/>
          <a:ext cx="57467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13</xdr:row>
      <xdr:rowOff>0</xdr:rowOff>
    </xdr:from>
    <xdr:to>
      <xdr:col>14</xdr:col>
      <xdr:colOff>400050</xdr:colOff>
      <xdr:row>27</xdr:row>
      <xdr:rowOff>66675</xdr:rowOff>
    </xdr:to>
    <xdr:sp macro="" textlink="">
      <xdr:nvSpPr>
        <xdr:cNvPr id="7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DCE61FD0-1B88-4220-83CD-1E082741AE6D}"/>
            </a:ext>
          </a:extLst>
        </xdr:cNvPr>
        <xdr:cNvSpPr/>
      </xdr:nvSpPr>
      <xdr:spPr bwMode="auto">
        <a:xfrm>
          <a:off x="1997075" y="330200"/>
          <a:ext cx="2889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30</xdr:row>
      <xdr:rowOff>114300</xdr:rowOff>
    </xdr:from>
    <xdr:to>
      <xdr:col>11</xdr:col>
      <xdr:colOff>723900</xdr:colOff>
      <xdr:row>31</xdr:row>
      <xdr:rowOff>0</xdr:rowOff>
    </xdr:to>
    <xdr:sp macro="" textlink="">
      <xdr:nvSpPr>
        <xdr:cNvPr id="72"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B9DED7CE-20A1-4E0B-9586-C4655E5F8CBD}"/>
            </a:ext>
          </a:extLst>
        </xdr:cNvPr>
        <xdr:cNvSpPr/>
      </xdr:nvSpPr>
      <xdr:spPr bwMode="auto">
        <a:xfrm>
          <a:off x="1997075" y="1009650"/>
          <a:ext cx="574675" cy="2286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13</xdr:row>
      <xdr:rowOff>0</xdr:rowOff>
    </xdr:from>
    <xdr:to>
      <xdr:col>15</xdr:col>
      <xdr:colOff>914400</xdr:colOff>
      <xdr:row>27</xdr:row>
      <xdr:rowOff>66675</xdr:rowOff>
    </xdr:to>
    <xdr:sp macro="" textlink="">
      <xdr:nvSpPr>
        <xdr:cNvPr id="73"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39CD2B43-D17E-4821-AF84-31FB427A6FFD}"/>
            </a:ext>
          </a:extLst>
        </xdr:cNvPr>
        <xdr:cNvSpPr/>
      </xdr:nvSpPr>
      <xdr:spPr bwMode="auto">
        <a:xfrm>
          <a:off x="2286000" y="330200"/>
          <a:ext cx="2857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29</xdr:row>
      <xdr:rowOff>66675</xdr:rowOff>
    </xdr:from>
    <xdr:to>
      <xdr:col>15</xdr:col>
      <xdr:colOff>723900</xdr:colOff>
      <xdr:row>33</xdr:row>
      <xdr:rowOff>0</xdr:rowOff>
    </xdr:to>
    <xdr:sp macro="" textlink="">
      <xdr:nvSpPr>
        <xdr:cNvPr id="74"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2590C6E9-29D2-4C02-BF14-E1AC3A7358C4}"/>
            </a:ext>
          </a:extLst>
        </xdr:cNvPr>
        <xdr:cNvSpPr/>
      </xdr:nvSpPr>
      <xdr:spPr bwMode="auto">
        <a:xfrm>
          <a:off x="1997075" y="577850"/>
          <a:ext cx="574675" cy="4191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13</xdr:row>
      <xdr:rowOff>0</xdr:rowOff>
    </xdr:from>
    <xdr:to>
      <xdr:col>14</xdr:col>
      <xdr:colOff>400050</xdr:colOff>
      <xdr:row>27</xdr:row>
      <xdr:rowOff>66675</xdr:rowOff>
    </xdr:to>
    <xdr:sp macro="" textlink="">
      <xdr:nvSpPr>
        <xdr:cNvPr id="7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771E83EE-B053-4710-822C-480EB59A279B}"/>
            </a:ext>
          </a:extLst>
        </xdr:cNvPr>
        <xdr:cNvSpPr/>
      </xdr:nvSpPr>
      <xdr:spPr bwMode="auto">
        <a:xfrm>
          <a:off x="1997075" y="330200"/>
          <a:ext cx="2889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30</xdr:row>
      <xdr:rowOff>114300</xdr:rowOff>
    </xdr:from>
    <xdr:to>
      <xdr:col>11</xdr:col>
      <xdr:colOff>723900</xdr:colOff>
      <xdr:row>31</xdr:row>
      <xdr:rowOff>0</xdr:rowOff>
    </xdr:to>
    <xdr:sp macro="" textlink="">
      <xdr:nvSpPr>
        <xdr:cNvPr id="76"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7BBEB6D2-107B-46EF-A1B4-E7C90110C91F}"/>
            </a:ext>
          </a:extLst>
        </xdr:cNvPr>
        <xdr:cNvSpPr/>
      </xdr:nvSpPr>
      <xdr:spPr bwMode="auto">
        <a:xfrm>
          <a:off x="1997075" y="1009650"/>
          <a:ext cx="574675" cy="2286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13</xdr:row>
      <xdr:rowOff>0</xdr:rowOff>
    </xdr:from>
    <xdr:to>
      <xdr:col>15</xdr:col>
      <xdr:colOff>914400</xdr:colOff>
      <xdr:row>27</xdr:row>
      <xdr:rowOff>66675</xdr:rowOff>
    </xdr:to>
    <xdr:sp macro="" textlink="">
      <xdr:nvSpPr>
        <xdr:cNvPr id="77"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C3A5A47-4ABF-4FB9-BC94-8455CF32E282}"/>
            </a:ext>
          </a:extLst>
        </xdr:cNvPr>
        <xdr:cNvSpPr/>
      </xdr:nvSpPr>
      <xdr:spPr bwMode="auto">
        <a:xfrm>
          <a:off x="2286000" y="330200"/>
          <a:ext cx="2857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29</xdr:row>
      <xdr:rowOff>66675</xdr:rowOff>
    </xdr:from>
    <xdr:to>
      <xdr:col>15</xdr:col>
      <xdr:colOff>723900</xdr:colOff>
      <xdr:row>33</xdr:row>
      <xdr:rowOff>0</xdr:rowOff>
    </xdr:to>
    <xdr:sp macro="" textlink="">
      <xdr:nvSpPr>
        <xdr:cNvPr id="78"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1FC4D19C-B688-4647-8943-B7A2B89BCA4D}"/>
            </a:ext>
          </a:extLst>
        </xdr:cNvPr>
        <xdr:cNvSpPr/>
      </xdr:nvSpPr>
      <xdr:spPr bwMode="auto">
        <a:xfrm>
          <a:off x="1997075" y="577850"/>
          <a:ext cx="574675" cy="4191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29</xdr:row>
      <xdr:rowOff>9525</xdr:rowOff>
    </xdr:from>
    <xdr:to>
      <xdr:col>14</xdr:col>
      <xdr:colOff>400050</xdr:colOff>
      <xdr:row>31</xdr:row>
      <xdr:rowOff>66675</xdr:rowOff>
    </xdr:to>
    <xdr:sp macro="" textlink="">
      <xdr:nvSpPr>
        <xdr:cNvPr id="8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5C328CBB-49F9-4AE0-B1C6-8125E2C8D892}"/>
            </a:ext>
          </a:extLst>
        </xdr:cNvPr>
        <xdr:cNvSpPr/>
      </xdr:nvSpPr>
      <xdr:spPr bwMode="auto">
        <a:xfrm>
          <a:off x="1997075" y="520700"/>
          <a:ext cx="2889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29</xdr:row>
      <xdr:rowOff>9525</xdr:rowOff>
    </xdr:from>
    <xdr:to>
      <xdr:col>15</xdr:col>
      <xdr:colOff>914400</xdr:colOff>
      <xdr:row>31</xdr:row>
      <xdr:rowOff>66675</xdr:rowOff>
    </xdr:to>
    <xdr:sp macro="" textlink="">
      <xdr:nvSpPr>
        <xdr:cNvPr id="8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93214BBD-A2D9-4867-8F78-DA196A2E9D46}"/>
            </a:ext>
          </a:extLst>
        </xdr:cNvPr>
        <xdr:cNvSpPr/>
      </xdr:nvSpPr>
      <xdr:spPr bwMode="auto">
        <a:xfrm>
          <a:off x="2286000" y="520700"/>
          <a:ext cx="2857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29</xdr:row>
      <xdr:rowOff>9525</xdr:rowOff>
    </xdr:from>
    <xdr:to>
      <xdr:col>14</xdr:col>
      <xdr:colOff>400050</xdr:colOff>
      <xdr:row>31</xdr:row>
      <xdr:rowOff>66675</xdr:rowOff>
    </xdr:to>
    <xdr:sp macro="" textlink="">
      <xdr:nvSpPr>
        <xdr:cNvPr id="8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AF1C0377-1D8E-470A-BBEF-9A55860E9A4B}"/>
            </a:ext>
          </a:extLst>
        </xdr:cNvPr>
        <xdr:cNvSpPr/>
      </xdr:nvSpPr>
      <xdr:spPr bwMode="auto">
        <a:xfrm>
          <a:off x="1997075" y="520700"/>
          <a:ext cx="2889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29</xdr:row>
      <xdr:rowOff>9525</xdr:rowOff>
    </xdr:from>
    <xdr:to>
      <xdr:col>15</xdr:col>
      <xdr:colOff>914400</xdr:colOff>
      <xdr:row>31</xdr:row>
      <xdr:rowOff>66675</xdr:rowOff>
    </xdr:to>
    <xdr:sp macro="" textlink="">
      <xdr:nvSpPr>
        <xdr:cNvPr id="8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B324CE45-FF0E-4BC1-B83A-C594F9D2B5D8}"/>
            </a:ext>
          </a:extLst>
        </xdr:cNvPr>
        <xdr:cNvSpPr/>
      </xdr:nvSpPr>
      <xdr:spPr bwMode="auto">
        <a:xfrm>
          <a:off x="2286000" y="520700"/>
          <a:ext cx="2857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29</xdr:row>
      <xdr:rowOff>9525</xdr:rowOff>
    </xdr:from>
    <xdr:to>
      <xdr:col>14</xdr:col>
      <xdr:colOff>400050</xdr:colOff>
      <xdr:row>31</xdr:row>
      <xdr:rowOff>66675</xdr:rowOff>
    </xdr:to>
    <xdr:sp macro="" textlink="">
      <xdr:nvSpPr>
        <xdr:cNvPr id="8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79AB1C36-2370-45D4-9E4C-9E45A6E2AFCF}"/>
            </a:ext>
          </a:extLst>
        </xdr:cNvPr>
        <xdr:cNvSpPr/>
      </xdr:nvSpPr>
      <xdr:spPr bwMode="auto">
        <a:xfrm>
          <a:off x="1997075" y="520700"/>
          <a:ext cx="2889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29</xdr:row>
      <xdr:rowOff>9525</xdr:rowOff>
    </xdr:from>
    <xdr:to>
      <xdr:col>15</xdr:col>
      <xdr:colOff>914400</xdr:colOff>
      <xdr:row>31</xdr:row>
      <xdr:rowOff>66675</xdr:rowOff>
    </xdr:to>
    <xdr:sp macro="" textlink="">
      <xdr:nvSpPr>
        <xdr:cNvPr id="8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328A277A-5606-4DAE-B990-F48781A6C6D0}"/>
            </a:ext>
          </a:extLst>
        </xdr:cNvPr>
        <xdr:cNvSpPr/>
      </xdr:nvSpPr>
      <xdr:spPr bwMode="auto">
        <a:xfrm>
          <a:off x="2286000" y="520700"/>
          <a:ext cx="285750"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29</xdr:row>
      <xdr:rowOff>9525</xdr:rowOff>
    </xdr:from>
    <xdr:to>
      <xdr:col>14</xdr:col>
      <xdr:colOff>400050</xdr:colOff>
      <xdr:row>31</xdr:row>
      <xdr:rowOff>66675</xdr:rowOff>
    </xdr:to>
    <xdr:sp macro="" textlink="">
      <xdr:nvSpPr>
        <xdr:cNvPr id="8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C44B6B6C-8CDD-40E6-93D5-FDE4A476EBC3}"/>
            </a:ext>
          </a:extLst>
        </xdr:cNvPr>
        <xdr:cNvSpPr/>
      </xdr:nvSpPr>
      <xdr:spPr bwMode="auto">
        <a:xfrm>
          <a:off x="1997075" y="520700"/>
          <a:ext cx="2889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29</xdr:row>
      <xdr:rowOff>9525</xdr:rowOff>
    </xdr:from>
    <xdr:to>
      <xdr:col>15</xdr:col>
      <xdr:colOff>914400</xdr:colOff>
      <xdr:row>31</xdr:row>
      <xdr:rowOff>66675</xdr:rowOff>
    </xdr:to>
    <xdr:sp macro="" textlink="">
      <xdr:nvSpPr>
        <xdr:cNvPr id="9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90CEB2A4-9607-4AA6-89C1-A7175D5DC904}"/>
            </a:ext>
          </a:extLst>
        </xdr:cNvPr>
        <xdr:cNvSpPr/>
      </xdr:nvSpPr>
      <xdr:spPr bwMode="auto">
        <a:xfrm>
          <a:off x="2286000" y="520700"/>
          <a:ext cx="285750"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24</xdr:col>
      <xdr:colOff>333375</xdr:colOff>
      <xdr:row>34</xdr:row>
      <xdr:rowOff>114300</xdr:rowOff>
    </xdr:from>
    <xdr:to>
      <xdr:col>26</xdr:col>
      <xdr:colOff>723900</xdr:colOff>
      <xdr:row>35</xdr:row>
      <xdr:rowOff>0</xdr:rowOff>
    </xdr:to>
    <xdr:sp macro="" textlink="">
      <xdr:nvSpPr>
        <xdr:cNvPr id="61"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9E8BCFBE-B969-4547-A118-BB277622D563}"/>
            </a:ext>
          </a:extLst>
        </xdr:cNvPr>
        <xdr:cNvSpPr/>
      </xdr:nvSpPr>
      <xdr:spPr bwMode="auto">
        <a:xfrm>
          <a:off x="3867150" y="1019175"/>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24</xdr:col>
      <xdr:colOff>333375</xdr:colOff>
      <xdr:row>34</xdr:row>
      <xdr:rowOff>114300</xdr:rowOff>
    </xdr:from>
    <xdr:to>
      <xdr:col>26</xdr:col>
      <xdr:colOff>723900</xdr:colOff>
      <xdr:row>35</xdr:row>
      <xdr:rowOff>0</xdr:rowOff>
    </xdr:to>
    <xdr:sp macro="" textlink="">
      <xdr:nvSpPr>
        <xdr:cNvPr id="62"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2C8FC3B6-5577-47BE-AB63-C39A57AB5301}"/>
            </a:ext>
          </a:extLst>
        </xdr:cNvPr>
        <xdr:cNvSpPr/>
      </xdr:nvSpPr>
      <xdr:spPr bwMode="auto">
        <a:xfrm>
          <a:off x="3867150" y="1019175"/>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24</xdr:col>
      <xdr:colOff>333375</xdr:colOff>
      <xdr:row>34</xdr:row>
      <xdr:rowOff>114300</xdr:rowOff>
    </xdr:from>
    <xdr:to>
      <xdr:col>26</xdr:col>
      <xdr:colOff>723900</xdr:colOff>
      <xdr:row>35</xdr:row>
      <xdr:rowOff>0</xdr:rowOff>
    </xdr:to>
    <xdr:sp macro="" textlink="">
      <xdr:nvSpPr>
        <xdr:cNvPr id="91"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7C029A2C-7112-4170-B669-9FAE930D1088}"/>
            </a:ext>
          </a:extLst>
        </xdr:cNvPr>
        <xdr:cNvSpPr/>
      </xdr:nvSpPr>
      <xdr:spPr bwMode="auto">
        <a:xfrm>
          <a:off x="3867150" y="1019175"/>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24</xdr:col>
      <xdr:colOff>333375</xdr:colOff>
      <xdr:row>34</xdr:row>
      <xdr:rowOff>114300</xdr:rowOff>
    </xdr:from>
    <xdr:to>
      <xdr:col>26</xdr:col>
      <xdr:colOff>723900</xdr:colOff>
      <xdr:row>35</xdr:row>
      <xdr:rowOff>0</xdr:rowOff>
    </xdr:to>
    <xdr:sp macro="" textlink="">
      <xdr:nvSpPr>
        <xdr:cNvPr id="92"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3F872A6D-5818-4955-964A-3B739A04CCFE}"/>
            </a:ext>
          </a:extLst>
        </xdr:cNvPr>
        <xdr:cNvSpPr/>
      </xdr:nvSpPr>
      <xdr:spPr bwMode="auto">
        <a:xfrm>
          <a:off x="3867150" y="1019175"/>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8</xdr:col>
      <xdr:colOff>0</xdr:colOff>
      <xdr:row>33</xdr:row>
      <xdr:rowOff>114300</xdr:rowOff>
    </xdr:from>
    <xdr:to>
      <xdr:col>9</xdr:col>
      <xdr:colOff>723900</xdr:colOff>
      <xdr:row>34</xdr:row>
      <xdr:rowOff>0</xdr:rowOff>
    </xdr:to>
    <xdr:sp macro="" textlink="">
      <xdr:nvSpPr>
        <xdr:cNvPr id="57"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E077DF53-883E-4F8F-AF64-7352178B5DFA}"/>
            </a:ext>
          </a:extLst>
        </xdr:cNvPr>
        <xdr:cNvSpPr/>
      </xdr:nvSpPr>
      <xdr:spPr bwMode="auto">
        <a:xfrm>
          <a:off x="1916182" y="1025387"/>
          <a:ext cx="546652"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8</xdr:col>
      <xdr:colOff>0</xdr:colOff>
      <xdr:row>33</xdr:row>
      <xdr:rowOff>114300</xdr:rowOff>
    </xdr:from>
    <xdr:to>
      <xdr:col>9</xdr:col>
      <xdr:colOff>723900</xdr:colOff>
      <xdr:row>34</xdr:row>
      <xdr:rowOff>0</xdr:rowOff>
    </xdr:to>
    <xdr:sp macro="" textlink="">
      <xdr:nvSpPr>
        <xdr:cNvPr id="58"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E90BC139-1AA6-4BD4-9BF6-95E9E6B93118}"/>
            </a:ext>
          </a:extLst>
        </xdr:cNvPr>
        <xdr:cNvSpPr/>
      </xdr:nvSpPr>
      <xdr:spPr bwMode="auto">
        <a:xfrm>
          <a:off x="1916182" y="1025387"/>
          <a:ext cx="546652"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8</xdr:col>
      <xdr:colOff>0</xdr:colOff>
      <xdr:row>33</xdr:row>
      <xdr:rowOff>114300</xdr:rowOff>
    </xdr:from>
    <xdr:to>
      <xdr:col>9</xdr:col>
      <xdr:colOff>723900</xdr:colOff>
      <xdr:row>34</xdr:row>
      <xdr:rowOff>0</xdr:rowOff>
    </xdr:to>
    <xdr:sp macro="" textlink="">
      <xdr:nvSpPr>
        <xdr:cNvPr id="59"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1327FEAC-99FF-4ABB-BC47-93CB1E08C9C8}"/>
            </a:ext>
          </a:extLst>
        </xdr:cNvPr>
        <xdr:cNvSpPr/>
      </xdr:nvSpPr>
      <xdr:spPr bwMode="auto">
        <a:xfrm>
          <a:off x="1916182" y="1025387"/>
          <a:ext cx="546652"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8</xdr:col>
      <xdr:colOff>0</xdr:colOff>
      <xdr:row>33</xdr:row>
      <xdr:rowOff>114300</xdr:rowOff>
    </xdr:from>
    <xdr:to>
      <xdr:col>9</xdr:col>
      <xdr:colOff>723900</xdr:colOff>
      <xdr:row>34</xdr:row>
      <xdr:rowOff>0</xdr:rowOff>
    </xdr:to>
    <xdr:sp macro="" textlink="">
      <xdr:nvSpPr>
        <xdr:cNvPr id="6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314FCDDC-7A05-475A-81E6-A30FF58AF157}"/>
            </a:ext>
          </a:extLst>
        </xdr:cNvPr>
        <xdr:cNvSpPr/>
      </xdr:nvSpPr>
      <xdr:spPr bwMode="auto">
        <a:xfrm>
          <a:off x="1916182" y="1025387"/>
          <a:ext cx="546652"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6</xdr:col>
      <xdr:colOff>323850</xdr:colOff>
      <xdr:row>38</xdr:row>
      <xdr:rowOff>0</xdr:rowOff>
    </xdr:from>
    <xdr:to>
      <xdr:col>8</xdr:col>
      <xdr:colOff>714375</xdr:colOff>
      <xdr:row>40</xdr:row>
      <xdr:rowOff>0</xdr:rowOff>
    </xdr:to>
    <xdr:sp macro="" textlink="">
      <xdr:nvSpPr>
        <xdr:cNvPr id="79" name="Check Box 50" hidden="1">
          <a:extLst>
            <a:ext uri="{63B3BB69-23CF-44E3-9099-C40C66FF867C}">
              <a14:compatExt xmlns:a14="http://schemas.microsoft.com/office/drawing/2010/main" spid="_x0000_s103474"/>
            </a:ext>
            <a:ext uri="{FF2B5EF4-FFF2-40B4-BE49-F238E27FC236}">
              <a16:creationId xmlns:a16="http://schemas.microsoft.com/office/drawing/2014/main" id="{F2D1BC28-D617-460F-B30E-46AFCB858B1E}"/>
            </a:ext>
          </a:extLst>
        </xdr:cNvPr>
        <xdr:cNvSpPr/>
      </xdr:nvSpPr>
      <xdr:spPr bwMode="auto">
        <a:xfrm>
          <a:off x="1933575" y="1600200"/>
          <a:ext cx="552450" cy="19050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SPACE</a:t>
          </a:r>
        </a:p>
      </xdr:txBody>
    </xdr:sp>
    <xdr:clientData/>
  </xdr:twoCellAnchor>
  <xdr:twoCellAnchor>
    <xdr:from>
      <xdr:col>6</xdr:col>
      <xdr:colOff>333375</xdr:colOff>
      <xdr:row>13</xdr:row>
      <xdr:rowOff>0</xdr:rowOff>
    </xdr:from>
    <xdr:to>
      <xdr:col>7</xdr:col>
      <xdr:colOff>400050</xdr:colOff>
      <xdr:row>28</xdr:row>
      <xdr:rowOff>0</xdr:rowOff>
    </xdr:to>
    <xdr:sp macro="" textlink="">
      <xdr:nvSpPr>
        <xdr:cNvPr id="80"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208736CC-3F3B-4CAC-8B98-BBB2B7300DAC}"/>
            </a:ext>
          </a:extLst>
        </xdr:cNvPr>
        <xdr:cNvSpPr/>
      </xdr:nvSpPr>
      <xdr:spPr bwMode="auto">
        <a:xfrm>
          <a:off x="1933575" y="238125"/>
          <a:ext cx="276225" cy="3714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30</xdr:row>
      <xdr:rowOff>114300</xdr:rowOff>
    </xdr:from>
    <xdr:to>
      <xdr:col>35</xdr:col>
      <xdr:colOff>723900</xdr:colOff>
      <xdr:row>31</xdr:row>
      <xdr:rowOff>0</xdr:rowOff>
    </xdr:to>
    <xdr:sp macro="" textlink="">
      <xdr:nvSpPr>
        <xdr:cNvPr id="81"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95E541A8-97FA-4C8D-8425-BEE880362FF4}"/>
            </a:ext>
          </a:extLst>
        </xdr:cNvPr>
        <xdr:cNvSpPr/>
      </xdr:nvSpPr>
      <xdr:spPr bwMode="auto">
        <a:xfrm>
          <a:off x="1933575" y="9144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13</xdr:row>
      <xdr:rowOff>0</xdr:rowOff>
    </xdr:from>
    <xdr:to>
      <xdr:col>8</xdr:col>
      <xdr:colOff>914400</xdr:colOff>
      <xdr:row>28</xdr:row>
      <xdr:rowOff>0</xdr:rowOff>
    </xdr:to>
    <xdr:sp macro="" textlink="">
      <xdr:nvSpPr>
        <xdr:cNvPr id="8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CFF61155-23F0-45BA-AD76-458253B23834}"/>
            </a:ext>
          </a:extLst>
        </xdr:cNvPr>
        <xdr:cNvSpPr/>
      </xdr:nvSpPr>
      <xdr:spPr bwMode="auto">
        <a:xfrm>
          <a:off x="2209800" y="238125"/>
          <a:ext cx="276225" cy="3714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31</xdr:row>
      <xdr:rowOff>0</xdr:rowOff>
    </xdr:from>
    <xdr:to>
      <xdr:col>9</xdr:col>
      <xdr:colOff>723900</xdr:colOff>
      <xdr:row>33</xdr:row>
      <xdr:rowOff>0</xdr:rowOff>
    </xdr:to>
    <xdr:sp macro="" textlink="">
      <xdr:nvSpPr>
        <xdr:cNvPr id="93"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A663E04A-1F17-4F2E-90F6-FE0B6315AF1C}"/>
            </a:ext>
          </a:extLst>
        </xdr:cNvPr>
        <xdr:cNvSpPr/>
      </xdr:nvSpPr>
      <xdr:spPr bwMode="auto">
        <a:xfrm>
          <a:off x="1933575" y="609600"/>
          <a:ext cx="552450"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323850</xdr:colOff>
      <xdr:row>38</xdr:row>
      <xdr:rowOff>0</xdr:rowOff>
    </xdr:from>
    <xdr:to>
      <xdr:col>8</xdr:col>
      <xdr:colOff>714375</xdr:colOff>
      <xdr:row>40</xdr:row>
      <xdr:rowOff>0</xdr:rowOff>
    </xdr:to>
    <xdr:sp macro="" textlink="">
      <xdr:nvSpPr>
        <xdr:cNvPr id="94" name="Check Box 111" hidden="1">
          <a:extLst>
            <a:ext uri="{63B3BB69-23CF-44E3-9099-C40C66FF867C}">
              <a14:compatExt xmlns:a14="http://schemas.microsoft.com/office/drawing/2010/main" spid="_x0000_s103535"/>
            </a:ext>
            <a:ext uri="{FF2B5EF4-FFF2-40B4-BE49-F238E27FC236}">
              <a16:creationId xmlns:a16="http://schemas.microsoft.com/office/drawing/2014/main" id="{EDCF0D2F-BEBF-483C-8848-67DEC55E4645}"/>
            </a:ext>
          </a:extLst>
        </xdr:cNvPr>
        <xdr:cNvSpPr/>
      </xdr:nvSpPr>
      <xdr:spPr bwMode="auto">
        <a:xfrm>
          <a:off x="1933575" y="1600200"/>
          <a:ext cx="552450" cy="19050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SPACE</a:t>
          </a:r>
        </a:p>
      </xdr:txBody>
    </xdr:sp>
    <xdr:clientData/>
  </xdr:twoCellAnchor>
  <xdr:twoCellAnchor>
    <xdr:from>
      <xdr:col>6</xdr:col>
      <xdr:colOff>333375</xdr:colOff>
      <xdr:row>13</xdr:row>
      <xdr:rowOff>0</xdr:rowOff>
    </xdr:from>
    <xdr:to>
      <xdr:col>7</xdr:col>
      <xdr:colOff>400050</xdr:colOff>
      <xdr:row>28</xdr:row>
      <xdr:rowOff>0</xdr:rowOff>
    </xdr:to>
    <xdr:sp macro="" textlink="">
      <xdr:nvSpPr>
        <xdr:cNvPr id="9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C3984884-0FD6-4AC9-A9ED-977BA8A9B118}"/>
            </a:ext>
          </a:extLst>
        </xdr:cNvPr>
        <xdr:cNvSpPr/>
      </xdr:nvSpPr>
      <xdr:spPr bwMode="auto">
        <a:xfrm>
          <a:off x="1933575" y="238125"/>
          <a:ext cx="276225" cy="3714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30</xdr:row>
      <xdr:rowOff>114300</xdr:rowOff>
    </xdr:from>
    <xdr:to>
      <xdr:col>35</xdr:col>
      <xdr:colOff>723900</xdr:colOff>
      <xdr:row>31</xdr:row>
      <xdr:rowOff>0</xdr:rowOff>
    </xdr:to>
    <xdr:sp macro="" textlink="">
      <xdr:nvSpPr>
        <xdr:cNvPr id="96"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DA18E1E4-5EEC-45E2-A353-95B7008D6187}"/>
            </a:ext>
          </a:extLst>
        </xdr:cNvPr>
        <xdr:cNvSpPr/>
      </xdr:nvSpPr>
      <xdr:spPr bwMode="auto">
        <a:xfrm>
          <a:off x="1933575" y="9144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13</xdr:row>
      <xdr:rowOff>0</xdr:rowOff>
    </xdr:from>
    <xdr:to>
      <xdr:col>8</xdr:col>
      <xdr:colOff>914400</xdr:colOff>
      <xdr:row>28</xdr:row>
      <xdr:rowOff>0</xdr:rowOff>
    </xdr:to>
    <xdr:sp macro="" textlink="">
      <xdr:nvSpPr>
        <xdr:cNvPr id="97"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9691689A-328F-4B39-8111-018025CF9479}"/>
            </a:ext>
          </a:extLst>
        </xdr:cNvPr>
        <xdr:cNvSpPr/>
      </xdr:nvSpPr>
      <xdr:spPr bwMode="auto">
        <a:xfrm>
          <a:off x="2209800" y="238125"/>
          <a:ext cx="276225" cy="3714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31</xdr:row>
      <xdr:rowOff>0</xdr:rowOff>
    </xdr:from>
    <xdr:to>
      <xdr:col>9</xdr:col>
      <xdr:colOff>723900</xdr:colOff>
      <xdr:row>33</xdr:row>
      <xdr:rowOff>0</xdr:rowOff>
    </xdr:to>
    <xdr:sp macro="" textlink="">
      <xdr:nvSpPr>
        <xdr:cNvPr id="98"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2ED8856A-9BEC-4C8A-9548-B4B9E837E872}"/>
            </a:ext>
          </a:extLst>
        </xdr:cNvPr>
        <xdr:cNvSpPr/>
      </xdr:nvSpPr>
      <xdr:spPr bwMode="auto">
        <a:xfrm>
          <a:off x="1933575" y="609600"/>
          <a:ext cx="552450"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13</xdr:row>
      <xdr:rowOff>0</xdr:rowOff>
    </xdr:from>
    <xdr:to>
      <xdr:col>7</xdr:col>
      <xdr:colOff>400050</xdr:colOff>
      <xdr:row>28</xdr:row>
      <xdr:rowOff>0</xdr:rowOff>
    </xdr:to>
    <xdr:sp macro="" textlink="">
      <xdr:nvSpPr>
        <xdr:cNvPr id="9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26FBE038-8BA2-4FF6-93EE-F2EEECDC45DE}"/>
            </a:ext>
          </a:extLst>
        </xdr:cNvPr>
        <xdr:cNvSpPr/>
      </xdr:nvSpPr>
      <xdr:spPr bwMode="auto">
        <a:xfrm>
          <a:off x="1933575" y="238125"/>
          <a:ext cx="276225" cy="3714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30</xdr:row>
      <xdr:rowOff>114300</xdr:rowOff>
    </xdr:from>
    <xdr:to>
      <xdr:col>35</xdr:col>
      <xdr:colOff>723900</xdr:colOff>
      <xdr:row>31</xdr:row>
      <xdr:rowOff>0</xdr:rowOff>
    </xdr:to>
    <xdr:sp macro="" textlink="">
      <xdr:nvSpPr>
        <xdr:cNvPr id="100"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C150390E-2876-4738-BA3E-C82735111DAA}"/>
            </a:ext>
          </a:extLst>
        </xdr:cNvPr>
        <xdr:cNvSpPr/>
      </xdr:nvSpPr>
      <xdr:spPr bwMode="auto">
        <a:xfrm>
          <a:off x="1933575" y="9144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13</xdr:row>
      <xdr:rowOff>0</xdr:rowOff>
    </xdr:from>
    <xdr:to>
      <xdr:col>8</xdr:col>
      <xdr:colOff>914400</xdr:colOff>
      <xdr:row>28</xdr:row>
      <xdr:rowOff>0</xdr:rowOff>
    </xdr:to>
    <xdr:sp macro="" textlink="">
      <xdr:nvSpPr>
        <xdr:cNvPr id="101"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29D40D2-69DA-4749-B50C-8957749A6661}"/>
            </a:ext>
          </a:extLst>
        </xdr:cNvPr>
        <xdr:cNvSpPr/>
      </xdr:nvSpPr>
      <xdr:spPr bwMode="auto">
        <a:xfrm>
          <a:off x="2209800" y="238125"/>
          <a:ext cx="276225" cy="3714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31</xdr:row>
      <xdr:rowOff>0</xdr:rowOff>
    </xdr:from>
    <xdr:to>
      <xdr:col>9</xdr:col>
      <xdr:colOff>723900</xdr:colOff>
      <xdr:row>33</xdr:row>
      <xdr:rowOff>0</xdr:rowOff>
    </xdr:to>
    <xdr:sp macro="" textlink="">
      <xdr:nvSpPr>
        <xdr:cNvPr id="102"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EA2B1EE4-0D47-48E2-9272-BD59080223A3}"/>
            </a:ext>
          </a:extLst>
        </xdr:cNvPr>
        <xdr:cNvSpPr/>
      </xdr:nvSpPr>
      <xdr:spPr bwMode="auto">
        <a:xfrm>
          <a:off x="1933575" y="609600"/>
          <a:ext cx="552450"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6</xdr:col>
      <xdr:colOff>333375</xdr:colOff>
      <xdr:row>13</xdr:row>
      <xdr:rowOff>0</xdr:rowOff>
    </xdr:from>
    <xdr:to>
      <xdr:col>7</xdr:col>
      <xdr:colOff>400050</xdr:colOff>
      <xdr:row>28</xdr:row>
      <xdr:rowOff>0</xdr:rowOff>
    </xdr:to>
    <xdr:sp macro="" textlink="">
      <xdr:nvSpPr>
        <xdr:cNvPr id="10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E9132C71-F59E-4202-833B-61F62AB6B43B}"/>
            </a:ext>
          </a:extLst>
        </xdr:cNvPr>
        <xdr:cNvSpPr/>
      </xdr:nvSpPr>
      <xdr:spPr bwMode="auto">
        <a:xfrm>
          <a:off x="1933575" y="238125"/>
          <a:ext cx="276225" cy="3714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33</xdr:col>
      <xdr:colOff>333375</xdr:colOff>
      <xdr:row>30</xdr:row>
      <xdr:rowOff>114300</xdr:rowOff>
    </xdr:from>
    <xdr:to>
      <xdr:col>35</xdr:col>
      <xdr:colOff>723900</xdr:colOff>
      <xdr:row>31</xdr:row>
      <xdr:rowOff>0</xdr:rowOff>
    </xdr:to>
    <xdr:sp macro="" textlink="">
      <xdr:nvSpPr>
        <xdr:cNvPr id="104"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60B78EFF-BE32-4B51-82E3-4DFCC78ED927}"/>
            </a:ext>
          </a:extLst>
        </xdr:cNvPr>
        <xdr:cNvSpPr/>
      </xdr:nvSpPr>
      <xdr:spPr bwMode="auto">
        <a:xfrm>
          <a:off x="1933575" y="9144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7</xdr:col>
      <xdr:colOff>400050</xdr:colOff>
      <xdr:row>13</xdr:row>
      <xdr:rowOff>0</xdr:rowOff>
    </xdr:from>
    <xdr:to>
      <xdr:col>8</xdr:col>
      <xdr:colOff>914400</xdr:colOff>
      <xdr:row>28</xdr:row>
      <xdr:rowOff>0</xdr:rowOff>
    </xdr:to>
    <xdr:sp macro="" textlink="">
      <xdr:nvSpPr>
        <xdr:cNvPr id="105"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5221C828-5FE9-4A38-AFE0-119B80A684B5}"/>
            </a:ext>
          </a:extLst>
        </xdr:cNvPr>
        <xdr:cNvSpPr/>
      </xdr:nvSpPr>
      <xdr:spPr bwMode="auto">
        <a:xfrm>
          <a:off x="2209800" y="238125"/>
          <a:ext cx="276225" cy="3714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31</xdr:row>
      <xdr:rowOff>0</xdr:rowOff>
    </xdr:from>
    <xdr:to>
      <xdr:col>9</xdr:col>
      <xdr:colOff>723900</xdr:colOff>
      <xdr:row>33</xdr:row>
      <xdr:rowOff>0</xdr:rowOff>
    </xdr:to>
    <xdr:sp macro="" textlink="">
      <xdr:nvSpPr>
        <xdr:cNvPr id="106"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8AE6DA82-0412-4110-954B-B8F1DEA44571}"/>
            </a:ext>
          </a:extLst>
        </xdr:cNvPr>
        <xdr:cNvSpPr/>
      </xdr:nvSpPr>
      <xdr:spPr bwMode="auto">
        <a:xfrm>
          <a:off x="1933575" y="609600"/>
          <a:ext cx="552450"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7</xdr:col>
      <xdr:colOff>333375</xdr:colOff>
      <xdr:row>31</xdr:row>
      <xdr:rowOff>0</xdr:rowOff>
    </xdr:from>
    <xdr:to>
      <xdr:col>8</xdr:col>
      <xdr:colOff>400050</xdr:colOff>
      <xdr:row>31</xdr:row>
      <xdr:rowOff>66675</xdr:rowOff>
    </xdr:to>
    <xdr:sp macro="" textlink="">
      <xdr:nvSpPr>
        <xdr:cNvPr id="10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2A608760-F8BF-4BE4-B834-E275DA558254}"/>
            </a:ext>
          </a:extLst>
        </xdr:cNvPr>
        <xdr:cNvSpPr/>
      </xdr:nvSpPr>
      <xdr:spPr bwMode="auto">
        <a:xfrm>
          <a:off x="1933575" y="6096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8</xdr:col>
      <xdr:colOff>400050</xdr:colOff>
      <xdr:row>31</xdr:row>
      <xdr:rowOff>0</xdr:rowOff>
    </xdr:from>
    <xdr:to>
      <xdr:col>9</xdr:col>
      <xdr:colOff>914400</xdr:colOff>
      <xdr:row>31</xdr:row>
      <xdr:rowOff>66675</xdr:rowOff>
    </xdr:to>
    <xdr:sp macro="" textlink="">
      <xdr:nvSpPr>
        <xdr:cNvPr id="10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7BB721E4-E8DC-431A-8123-DBBB6E24E6FA}"/>
            </a:ext>
          </a:extLst>
        </xdr:cNvPr>
        <xdr:cNvSpPr/>
      </xdr:nvSpPr>
      <xdr:spPr bwMode="auto">
        <a:xfrm>
          <a:off x="2209800" y="6096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31</xdr:row>
      <xdr:rowOff>0</xdr:rowOff>
    </xdr:from>
    <xdr:to>
      <xdr:col>8</xdr:col>
      <xdr:colOff>400050</xdr:colOff>
      <xdr:row>31</xdr:row>
      <xdr:rowOff>66675</xdr:rowOff>
    </xdr:to>
    <xdr:sp macro="" textlink="">
      <xdr:nvSpPr>
        <xdr:cNvPr id="10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5D4336C0-0C3E-46F9-8FA9-B33CD9B20693}"/>
            </a:ext>
          </a:extLst>
        </xdr:cNvPr>
        <xdr:cNvSpPr/>
      </xdr:nvSpPr>
      <xdr:spPr bwMode="auto">
        <a:xfrm>
          <a:off x="1933575" y="6096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8</xdr:col>
      <xdr:colOff>400050</xdr:colOff>
      <xdr:row>31</xdr:row>
      <xdr:rowOff>0</xdr:rowOff>
    </xdr:from>
    <xdr:to>
      <xdr:col>9</xdr:col>
      <xdr:colOff>914400</xdr:colOff>
      <xdr:row>31</xdr:row>
      <xdr:rowOff>66675</xdr:rowOff>
    </xdr:to>
    <xdr:sp macro="" textlink="">
      <xdr:nvSpPr>
        <xdr:cNvPr id="11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DF15CA5D-A1AC-4E12-AD05-FB1A9759BA7C}"/>
            </a:ext>
          </a:extLst>
        </xdr:cNvPr>
        <xdr:cNvSpPr/>
      </xdr:nvSpPr>
      <xdr:spPr bwMode="auto">
        <a:xfrm>
          <a:off x="2209800" y="6096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31</xdr:row>
      <xdr:rowOff>0</xdr:rowOff>
    </xdr:from>
    <xdr:to>
      <xdr:col>8</xdr:col>
      <xdr:colOff>400050</xdr:colOff>
      <xdr:row>31</xdr:row>
      <xdr:rowOff>66675</xdr:rowOff>
    </xdr:to>
    <xdr:sp macro="" textlink="">
      <xdr:nvSpPr>
        <xdr:cNvPr id="11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4E634716-7D74-4FBA-B33C-7234E6630F67}"/>
            </a:ext>
          </a:extLst>
        </xdr:cNvPr>
        <xdr:cNvSpPr/>
      </xdr:nvSpPr>
      <xdr:spPr bwMode="auto">
        <a:xfrm>
          <a:off x="1933575" y="6096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8</xdr:col>
      <xdr:colOff>400050</xdr:colOff>
      <xdr:row>31</xdr:row>
      <xdr:rowOff>0</xdr:rowOff>
    </xdr:from>
    <xdr:to>
      <xdr:col>9</xdr:col>
      <xdr:colOff>914400</xdr:colOff>
      <xdr:row>31</xdr:row>
      <xdr:rowOff>66675</xdr:rowOff>
    </xdr:to>
    <xdr:sp macro="" textlink="">
      <xdr:nvSpPr>
        <xdr:cNvPr id="11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F953ED17-6508-4B2A-B32C-BB2EB60C9B3F}"/>
            </a:ext>
          </a:extLst>
        </xdr:cNvPr>
        <xdr:cNvSpPr/>
      </xdr:nvSpPr>
      <xdr:spPr bwMode="auto">
        <a:xfrm>
          <a:off x="2209800" y="6096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31</xdr:row>
      <xdr:rowOff>0</xdr:rowOff>
    </xdr:from>
    <xdr:to>
      <xdr:col>8</xdr:col>
      <xdr:colOff>400050</xdr:colOff>
      <xdr:row>31</xdr:row>
      <xdr:rowOff>66675</xdr:rowOff>
    </xdr:to>
    <xdr:sp macro="" textlink="">
      <xdr:nvSpPr>
        <xdr:cNvPr id="11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1312B89C-C17B-41F1-A5FA-F10BC0968D9C}"/>
            </a:ext>
          </a:extLst>
        </xdr:cNvPr>
        <xdr:cNvSpPr/>
      </xdr:nvSpPr>
      <xdr:spPr bwMode="auto">
        <a:xfrm>
          <a:off x="1933575" y="6096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8</xdr:col>
      <xdr:colOff>400050</xdr:colOff>
      <xdr:row>31</xdr:row>
      <xdr:rowOff>0</xdr:rowOff>
    </xdr:from>
    <xdr:to>
      <xdr:col>9</xdr:col>
      <xdr:colOff>914400</xdr:colOff>
      <xdr:row>31</xdr:row>
      <xdr:rowOff>66675</xdr:rowOff>
    </xdr:to>
    <xdr:sp macro="" textlink="">
      <xdr:nvSpPr>
        <xdr:cNvPr id="11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6A27F5F4-51C2-4E61-934F-BCD855C817A3}"/>
            </a:ext>
          </a:extLst>
        </xdr:cNvPr>
        <xdr:cNvSpPr/>
      </xdr:nvSpPr>
      <xdr:spPr bwMode="auto">
        <a:xfrm>
          <a:off x="2209800" y="6096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13</xdr:row>
      <xdr:rowOff>0</xdr:rowOff>
    </xdr:from>
    <xdr:to>
      <xdr:col>14</xdr:col>
      <xdr:colOff>400050</xdr:colOff>
      <xdr:row>28</xdr:row>
      <xdr:rowOff>0</xdr:rowOff>
    </xdr:to>
    <xdr:sp macro="" textlink="">
      <xdr:nvSpPr>
        <xdr:cNvPr id="11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E0F48037-4822-4B62-9361-C10578CD5381}"/>
            </a:ext>
          </a:extLst>
        </xdr:cNvPr>
        <xdr:cNvSpPr/>
      </xdr:nvSpPr>
      <xdr:spPr bwMode="auto">
        <a:xfrm>
          <a:off x="3867150" y="238125"/>
          <a:ext cx="276225" cy="3714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30</xdr:row>
      <xdr:rowOff>114300</xdr:rowOff>
    </xdr:from>
    <xdr:to>
      <xdr:col>11</xdr:col>
      <xdr:colOff>723900</xdr:colOff>
      <xdr:row>31</xdr:row>
      <xdr:rowOff>0</xdr:rowOff>
    </xdr:to>
    <xdr:sp macro="" textlink="">
      <xdr:nvSpPr>
        <xdr:cNvPr id="116"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88C1F204-2C34-4A23-81DA-275D133C57D6}"/>
            </a:ext>
          </a:extLst>
        </xdr:cNvPr>
        <xdr:cNvSpPr/>
      </xdr:nvSpPr>
      <xdr:spPr bwMode="auto">
        <a:xfrm>
          <a:off x="3867150" y="9144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13</xdr:row>
      <xdr:rowOff>0</xdr:rowOff>
    </xdr:from>
    <xdr:to>
      <xdr:col>15</xdr:col>
      <xdr:colOff>914400</xdr:colOff>
      <xdr:row>28</xdr:row>
      <xdr:rowOff>0</xdr:rowOff>
    </xdr:to>
    <xdr:sp macro="" textlink="">
      <xdr:nvSpPr>
        <xdr:cNvPr id="117"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D6530650-4340-4A66-B132-8C930B61B9CC}"/>
            </a:ext>
          </a:extLst>
        </xdr:cNvPr>
        <xdr:cNvSpPr/>
      </xdr:nvSpPr>
      <xdr:spPr bwMode="auto">
        <a:xfrm>
          <a:off x="4143375" y="238125"/>
          <a:ext cx="276225" cy="3714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31</xdr:row>
      <xdr:rowOff>0</xdr:rowOff>
    </xdr:from>
    <xdr:to>
      <xdr:col>16</xdr:col>
      <xdr:colOff>723900</xdr:colOff>
      <xdr:row>33</xdr:row>
      <xdr:rowOff>0</xdr:rowOff>
    </xdr:to>
    <xdr:sp macro="" textlink="">
      <xdr:nvSpPr>
        <xdr:cNvPr id="118"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76A2E822-4833-4295-98C6-C51C8EC8862F}"/>
            </a:ext>
          </a:extLst>
        </xdr:cNvPr>
        <xdr:cNvSpPr/>
      </xdr:nvSpPr>
      <xdr:spPr bwMode="auto">
        <a:xfrm>
          <a:off x="3867150" y="609600"/>
          <a:ext cx="552450"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13</xdr:row>
      <xdr:rowOff>0</xdr:rowOff>
    </xdr:from>
    <xdr:to>
      <xdr:col>14</xdr:col>
      <xdr:colOff>400050</xdr:colOff>
      <xdr:row>28</xdr:row>
      <xdr:rowOff>0</xdr:rowOff>
    </xdr:to>
    <xdr:sp macro="" textlink="">
      <xdr:nvSpPr>
        <xdr:cNvPr id="11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8F9F3F48-1B9B-4191-AC76-84FC1B66F53D}"/>
            </a:ext>
          </a:extLst>
        </xdr:cNvPr>
        <xdr:cNvSpPr/>
      </xdr:nvSpPr>
      <xdr:spPr bwMode="auto">
        <a:xfrm>
          <a:off x="3867150" y="238125"/>
          <a:ext cx="276225" cy="3714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30</xdr:row>
      <xdr:rowOff>114300</xdr:rowOff>
    </xdr:from>
    <xdr:to>
      <xdr:col>11</xdr:col>
      <xdr:colOff>723900</xdr:colOff>
      <xdr:row>31</xdr:row>
      <xdr:rowOff>0</xdr:rowOff>
    </xdr:to>
    <xdr:sp macro="" textlink="">
      <xdr:nvSpPr>
        <xdr:cNvPr id="12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F3AA7257-3A5E-4BE4-AB5E-426CDE1900B6}"/>
            </a:ext>
          </a:extLst>
        </xdr:cNvPr>
        <xdr:cNvSpPr/>
      </xdr:nvSpPr>
      <xdr:spPr bwMode="auto">
        <a:xfrm>
          <a:off x="3867150" y="9144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13</xdr:row>
      <xdr:rowOff>0</xdr:rowOff>
    </xdr:from>
    <xdr:to>
      <xdr:col>15</xdr:col>
      <xdr:colOff>914400</xdr:colOff>
      <xdr:row>28</xdr:row>
      <xdr:rowOff>0</xdr:rowOff>
    </xdr:to>
    <xdr:sp macro="" textlink="">
      <xdr:nvSpPr>
        <xdr:cNvPr id="121"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4E431BE8-318A-42A8-81AE-940A8ED22135}"/>
            </a:ext>
          </a:extLst>
        </xdr:cNvPr>
        <xdr:cNvSpPr/>
      </xdr:nvSpPr>
      <xdr:spPr bwMode="auto">
        <a:xfrm>
          <a:off x="4143375" y="238125"/>
          <a:ext cx="276225" cy="3714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31</xdr:row>
      <xdr:rowOff>0</xdr:rowOff>
    </xdr:from>
    <xdr:to>
      <xdr:col>16</xdr:col>
      <xdr:colOff>723900</xdr:colOff>
      <xdr:row>33</xdr:row>
      <xdr:rowOff>0</xdr:rowOff>
    </xdr:to>
    <xdr:sp macro="" textlink="">
      <xdr:nvSpPr>
        <xdr:cNvPr id="122"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53490189-0F28-4E51-A799-3081955FC85A}"/>
            </a:ext>
          </a:extLst>
        </xdr:cNvPr>
        <xdr:cNvSpPr/>
      </xdr:nvSpPr>
      <xdr:spPr bwMode="auto">
        <a:xfrm>
          <a:off x="3867150" y="609600"/>
          <a:ext cx="552450"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13</xdr:row>
      <xdr:rowOff>0</xdr:rowOff>
    </xdr:from>
    <xdr:to>
      <xdr:col>14</xdr:col>
      <xdr:colOff>400050</xdr:colOff>
      <xdr:row>28</xdr:row>
      <xdr:rowOff>0</xdr:rowOff>
    </xdr:to>
    <xdr:sp macro="" textlink="">
      <xdr:nvSpPr>
        <xdr:cNvPr id="12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1B9C15A3-84FA-4C85-A5B1-02C5C6919EBF}"/>
            </a:ext>
          </a:extLst>
        </xdr:cNvPr>
        <xdr:cNvSpPr/>
      </xdr:nvSpPr>
      <xdr:spPr bwMode="auto">
        <a:xfrm>
          <a:off x="3867150" y="238125"/>
          <a:ext cx="276225" cy="3714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30</xdr:row>
      <xdr:rowOff>114300</xdr:rowOff>
    </xdr:from>
    <xdr:to>
      <xdr:col>11</xdr:col>
      <xdr:colOff>723900</xdr:colOff>
      <xdr:row>31</xdr:row>
      <xdr:rowOff>0</xdr:rowOff>
    </xdr:to>
    <xdr:sp macro="" textlink="">
      <xdr:nvSpPr>
        <xdr:cNvPr id="124"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61CDAE1-2389-4B5E-81F8-16462D986A6C}"/>
            </a:ext>
          </a:extLst>
        </xdr:cNvPr>
        <xdr:cNvSpPr/>
      </xdr:nvSpPr>
      <xdr:spPr bwMode="auto">
        <a:xfrm>
          <a:off x="3867150" y="9144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13</xdr:row>
      <xdr:rowOff>0</xdr:rowOff>
    </xdr:from>
    <xdr:to>
      <xdr:col>15</xdr:col>
      <xdr:colOff>914400</xdr:colOff>
      <xdr:row>28</xdr:row>
      <xdr:rowOff>0</xdr:rowOff>
    </xdr:to>
    <xdr:sp macro="" textlink="">
      <xdr:nvSpPr>
        <xdr:cNvPr id="125"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8C4055F5-A19A-4014-A18F-9CD52805BC56}"/>
            </a:ext>
          </a:extLst>
        </xdr:cNvPr>
        <xdr:cNvSpPr/>
      </xdr:nvSpPr>
      <xdr:spPr bwMode="auto">
        <a:xfrm>
          <a:off x="4143375" y="238125"/>
          <a:ext cx="276225" cy="3714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31</xdr:row>
      <xdr:rowOff>0</xdr:rowOff>
    </xdr:from>
    <xdr:to>
      <xdr:col>16</xdr:col>
      <xdr:colOff>723900</xdr:colOff>
      <xdr:row>33</xdr:row>
      <xdr:rowOff>0</xdr:rowOff>
    </xdr:to>
    <xdr:sp macro="" textlink="">
      <xdr:nvSpPr>
        <xdr:cNvPr id="126" name="Check Box 104" descr="TAX CREDIT PROJECT (Check if YES)" hidden="1">
          <a:extLst>
            <a:ext uri="{63B3BB69-23CF-44E3-9099-C40C66FF867C}">
              <a14:compatExt xmlns:a14="http://schemas.microsoft.com/office/drawing/2010/main" spid="_x0000_s103528"/>
            </a:ext>
            <a:ext uri="{FF2B5EF4-FFF2-40B4-BE49-F238E27FC236}">
              <a16:creationId xmlns:a16="http://schemas.microsoft.com/office/drawing/2014/main" id="{4556DC08-6BBC-4B15-9B1A-5BF6BE743891}"/>
            </a:ext>
          </a:extLst>
        </xdr:cNvPr>
        <xdr:cNvSpPr/>
      </xdr:nvSpPr>
      <xdr:spPr bwMode="auto">
        <a:xfrm>
          <a:off x="3867150" y="609600"/>
          <a:ext cx="552450" cy="2952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13</xdr:col>
      <xdr:colOff>333375</xdr:colOff>
      <xdr:row>13</xdr:row>
      <xdr:rowOff>0</xdr:rowOff>
    </xdr:from>
    <xdr:to>
      <xdr:col>14</xdr:col>
      <xdr:colOff>400050</xdr:colOff>
      <xdr:row>28</xdr:row>
      <xdr:rowOff>0</xdr:rowOff>
    </xdr:to>
    <xdr:sp macro="" textlink="">
      <xdr:nvSpPr>
        <xdr:cNvPr id="12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9A5D9140-5825-4852-81CB-475BAD277D29}"/>
            </a:ext>
          </a:extLst>
        </xdr:cNvPr>
        <xdr:cNvSpPr/>
      </xdr:nvSpPr>
      <xdr:spPr bwMode="auto">
        <a:xfrm>
          <a:off x="3867150" y="238125"/>
          <a:ext cx="276225" cy="3714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9</xdr:col>
      <xdr:colOff>333375</xdr:colOff>
      <xdr:row>30</xdr:row>
      <xdr:rowOff>114300</xdr:rowOff>
    </xdr:from>
    <xdr:to>
      <xdr:col>11</xdr:col>
      <xdr:colOff>723900</xdr:colOff>
      <xdr:row>31</xdr:row>
      <xdr:rowOff>0</xdr:rowOff>
    </xdr:to>
    <xdr:sp macro="" textlink="">
      <xdr:nvSpPr>
        <xdr:cNvPr id="128"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E3404519-54B1-498A-A0A5-01C9226B74F5}"/>
            </a:ext>
          </a:extLst>
        </xdr:cNvPr>
        <xdr:cNvSpPr/>
      </xdr:nvSpPr>
      <xdr:spPr bwMode="auto">
        <a:xfrm>
          <a:off x="3867150" y="9144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14</xdr:col>
      <xdr:colOff>400050</xdr:colOff>
      <xdr:row>13</xdr:row>
      <xdr:rowOff>0</xdr:rowOff>
    </xdr:from>
    <xdr:to>
      <xdr:col>15</xdr:col>
      <xdr:colOff>914400</xdr:colOff>
      <xdr:row>28</xdr:row>
      <xdr:rowOff>0</xdr:rowOff>
    </xdr:to>
    <xdr:sp macro="" textlink="">
      <xdr:nvSpPr>
        <xdr:cNvPr id="129"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7ADC22C-8EA2-4991-8754-605B73122DC0}"/>
            </a:ext>
          </a:extLst>
        </xdr:cNvPr>
        <xdr:cNvSpPr/>
      </xdr:nvSpPr>
      <xdr:spPr bwMode="auto">
        <a:xfrm>
          <a:off x="4143375" y="238125"/>
          <a:ext cx="276225" cy="3714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31</xdr:row>
      <xdr:rowOff>0</xdr:rowOff>
    </xdr:from>
    <xdr:to>
      <xdr:col>16</xdr:col>
      <xdr:colOff>723900</xdr:colOff>
      <xdr:row>33</xdr:row>
      <xdr:rowOff>0</xdr:rowOff>
    </xdr:to>
    <xdr:sp macro="" textlink="">
      <xdr:nvSpPr>
        <xdr:cNvPr id="130" name="Check Box 115" descr="TAX CREDIT PROJECT (Check if YES)" hidden="1">
          <a:extLst>
            <a:ext uri="{63B3BB69-23CF-44E3-9099-C40C66FF867C}">
              <a14:compatExt xmlns:a14="http://schemas.microsoft.com/office/drawing/2010/main" spid="_x0000_s103539"/>
            </a:ext>
            <a:ext uri="{FF2B5EF4-FFF2-40B4-BE49-F238E27FC236}">
              <a16:creationId xmlns:a16="http://schemas.microsoft.com/office/drawing/2014/main" id="{0E6FBD9D-3F44-4092-86ED-675CBCBB7984}"/>
            </a:ext>
          </a:extLst>
        </xdr:cNvPr>
        <xdr:cNvSpPr/>
      </xdr:nvSpPr>
      <xdr:spPr bwMode="auto">
        <a:xfrm>
          <a:off x="3867150" y="609600"/>
          <a:ext cx="552450" cy="2952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HYBRID TAX CREDIT APPLICATION </a:t>
          </a:r>
        </a:p>
      </xdr:txBody>
    </xdr:sp>
    <xdr:clientData/>
  </xdr:twoCellAnchor>
  <xdr:twoCellAnchor>
    <xdr:from>
      <xdr:col>14</xdr:col>
      <xdr:colOff>333375</xdr:colOff>
      <xdr:row>31</xdr:row>
      <xdr:rowOff>0</xdr:rowOff>
    </xdr:from>
    <xdr:to>
      <xdr:col>15</xdr:col>
      <xdr:colOff>400050</xdr:colOff>
      <xdr:row>31</xdr:row>
      <xdr:rowOff>66675</xdr:rowOff>
    </xdr:to>
    <xdr:sp macro="" textlink="">
      <xdr:nvSpPr>
        <xdr:cNvPr id="13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CF1C1DD2-CD36-4913-94CC-A95400E5B738}"/>
            </a:ext>
          </a:extLst>
        </xdr:cNvPr>
        <xdr:cNvSpPr/>
      </xdr:nvSpPr>
      <xdr:spPr bwMode="auto">
        <a:xfrm>
          <a:off x="3867150" y="6096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15</xdr:col>
      <xdr:colOff>400050</xdr:colOff>
      <xdr:row>31</xdr:row>
      <xdr:rowOff>0</xdr:rowOff>
    </xdr:from>
    <xdr:to>
      <xdr:col>16</xdr:col>
      <xdr:colOff>914400</xdr:colOff>
      <xdr:row>31</xdr:row>
      <xdr:rowOff>66675</xdr:rowOff>
    </xdr:to>
    <xdr:sp macro="" textlink="">
      <xdr:nvSpPr>
        <xdr:cNvPr id="13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F8ABF035-A7E9-4906-BB87-7D7EC50AC7EA}"/>
            </a:ext>
          </a:extLst>
        </xdr:cNvPr>
        <xdr:cNvSpPr/>
      </xdr:nvSpPr>
      <xdr:spPr bwMode="auto">
        <a:xfrm>
          <a:off x="4143375" y="6096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31</xdr:row>
      <xdr:rowOff>0</xdr:rowOff>
    </xdr:from>
    <xdr:to>
      <xdr:col>15</xdr:col>
      <xdr:colOff>400050</xdr:colOff>
      <xdr:row>31</xdr:row>
      <xdr:rowOff>66675</xdr:rowOff>
    </xdr:to>
    <xdr:sp macro="" textlink="">
      <xdr:nvSpPr>
        <xdr:cNvPr id="13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087D2D5E-79D4-42F6-AAA8-0116868D098C}"/>
            </a:ext>
          </a:extLst>
        </xdr:cNvPr>
        <xdr:cNvSpPr/>
      </xdr:nvSpPr>
      <xdr:spPr bwMode="auto">
        <a:xfrm>
          <a:off x="3867150" y="6096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15</xdr:col>
      <xdr:colOff>400050</xdr:colOff>
      <xdr:row>31</xdr:row>
      <xdr:rowOff>0</xdr:rowOff>
    </xdr:from>
    <xdr:to>
      <xdr:col>16</xdr:col>
      <xdr:colOff>914400</xdr:colOff>
      <xdr:row>31</xdr:row>
      <xdr:rowOff>66675</xdr:rowOff>
    </xdr:to>
    <xdr:sp macro="" textlink="">
      <xdr:nvSpPr>
        <xdr:cNvPr id="13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9A82D31F-3D83-4ABF-802B-272767F50CAD}"/>
            </a:ext>
          </a:extLst>
        </xdr:cNvPr>
        <xdr:cNvSpPr/>
      </xdr:nvSpPr>
      <xdr:spPr bwMode="auto">
        <a:xfrm>
          <a:off x="4143375" y="6096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31</xdr:row>
      <xdr:rowOff>0</xdr:rowOff>
    </xdr:from>
    <xdr:to>
      <xdr:col>15</xdr:col>
      <xdr:colOff>400050</xdr:colOff>
      <xdr:row>31</xdr:row>
      <xdr:rowOff>66675</xdr:rowOff>
    </xdr:to>
    <xdr:sp macro="" textlink="">
      <xdr:nvSpPr>
        <xdr:cNvPr id="13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96BBDB47-1219-4E61-8A18-284142A183B5}"/>
            </a:ext>
          </a:extLst>
        </xdr:cNvPr>
        <xdr:cNvSpPr/>
      </xdr:nvSpPr>
      <xdr:spPr bwMode="auto">
        <a:xfrm>
          <a:off x="3867150" y="6096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15</xdr:col>
      <xdr:colOff>400050</xdr:colOff>
      <xdr:row>31</xdr:row>
      <xdr:rowOff>0</xdr:rowOff>
    </xdr:from>
    <xdr:to>
      <xdr:col>16</xdr:col>
      <xdr:colOff>914400</xdr:colOff>
      <xdr:row>31</xdr:row>
      <xdr:rowOff>66675</xdr:rowOff>
    </xdr:to>
    <xdr:sp macro="" textlink="">
      <xdr:nvSpPr>
        <xdr:cNvPr id="13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88A776F2-CC5B-4C66-8CD1-50EA4A05CF4B}"/>
            </a:ext>
          </a:extLst>
        </xdr:cNvPr>
        <xdr:cNvSpPr/>
      </xdr:nvSpPr>
      <xdr:spPr bwMode="auto">
        <a:xfrm>
          <a:off x="4143375" y="6096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31</xdr:row>
      <xdr:rowOff>0</xdr:rowOff>
    </xdr:from>
    <xdr:to>
      <xdr:col>15</xdr:col>
      <xdr:colOff>400050</xdr:colOff>
      <xdr:row>31</xdr:row>
      <xdr:rowOff>66675</xdr:rowOff>
    </xdr:to>
    <xdr:sp macro="" textlink="">
      <xdr:nvSpPr>
        <xdr:cNvPr id="13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7441A239-4593-4ACA-9153-1A51DFDE0FB8}"/>
            </a:ext>
          </a:extLst>
        </xdr:cNvPr>
        <xdr:cNvSpPr/>
      </xdr:nvSpPr>
      <xdr:spPr bwMode="auto">
        <a:xfrm>
          <a:off x="3867150" y="6096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15</xdr:col>
      <xdr:colOff>400050</xdr:colOff>
      <xdr:row>31</xdr:row>
      <xdr:rowOff>0</xdr:rowOff>
    </xdr:from>
    <xdr:to>
      <xdr:col>16</xdr:col>
      <xdr:colOff>914400</xdr:colOff>
      <xdr:row>31</xdr:row>
      <xdr:rowOff>66675</xdr:rowOff>
    </xdr:to>
    <xdr:sp macro="" textlink="">
      <xdr:nvSpPr>
        <xdr:cNvPr id="13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E4F1A980-F54F-4504-8F9D-36048C6F7DC2}"/>
            </a:ext>
          </a:extLst>
        </xdr:cNvPr>
        <xdr:cNvSpPr/>
      </xdr:nvSpPr>
      <xdr:spPr bwMode="auto">
        <a:xfrm>
          <a:off x="4143375" y="6096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24</xdr:col>
      <xdr:colOff>333375</xdr:colOff>
      <xdr:row>34</xdr:row>
      <xdr:rowOff>114300</xdr:rowOff>
    </xdr:from>
    <xdr:to>
      <xdr:col>26</xdr:col>
      <xdr:colOff>723900</xdr:colOff>
      <xdr:row>35</xdr:row>
      <xdr:rowOff>0</xdr:rowOff>
    </xdr:to>
    <xdr:sp macro="" textlink="">
      <xdr:nvSpPr>
        <xdr:cNvPr id="139"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0C48351E-D800-471F-A1A3-A5C03EB84144}"/>
            </a:ext>
          </a:extLst>
        </xdr:cNvPr>
        <xdr:cNvSpPr/>
      </xdr:nvSpPr>
      <xdr:spPr bwMode="auto">
        <a:xfrm>
          <a:off x="3867150" y="12954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24</xdr:col>
      <xdr:colOff>333375</xdr:colOff>
      <xdr:row>34</xdr:row>
      <xdr:rowOff>114300</xdr:rowOff>
    </xdr:from>
    <xdr:to>
      <xdr:col>26</xdr:col>
      <xdr:colOff>723900</xdr:colOff>
      <xdr:row>35</xdr:row>
      <xdr:rowOff>0</xdr:rowOff>
    </xdr:to>
    <xdr:sp macro="" textlink="">
      <xdr:nvSpPr>
        <xdr:cNvPr id="14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00D42F80-A1AA-4C70-A687-B5A36FCC11AF}"/>
            </a:ext>
          </a:extLst>
        </xdr:cNvPr>
        <xdr:cNvSpPr/>
      </xdr:nvSpPr>
      <xdr:spPr bwMode="auto">
        <a:xfrm>
          <a:off x="3867150" y="12954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24</xdr:col>
      <xdr:colOff>333375</xdr:colOff>
      <xdr:row>34</xdr:row>
      <xdr:rowOff>114300</xdr:rowOff>
    </xdr:from>
    <xdr:to>
      <xdr:col>26</xdr:col>
      <xdr:colOff>723900</xdr:colOff>
      <xdr:row>35</xdr:row>
      <xdr:rowOff>0</xdr:rowOff>
    </xdr:to>
    <xdr:sp macro="" textlink="">
      <xdr:nvSpPr>
        <xdr:cNvPr id="141"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F8D46DB6-BA22-4772-B136-CCB7007B5145}"/>
            </a:ext>
          </a:extLst>
        </xdr:cNvPr>
        <xdr:cNvSpPr/>
      </xdr:nvSpPr>
      <xdr:spPr bwMode="auto">
        <a:xfrm>
          <a:off x="3867150" y="12954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24</xdr:col>
      <xdr:colOff>333375</xdr:colOff>
      <xdr:row>34</xdr:row>
      <xdr:rowOff>114300</xdr:rowOff>
    </xdr:from>
    <xdr:to>
      <xdr:col>26</xdr:col>
      <xdr:colOff>723900</xdr:colOff>
      <xdr:row>35</xdr:row>
      <xdr:rowOff>0</xdr:rowOff>
    </xdr:to>
    <xdr:sp macro="" textlink="">
      <xdr:nvSpPr>
        <xdr:cNvPr id="142"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1E58131C-7F1A-4362-BB07-A91FA13B943D}"/>
            </a:ext>
          </a:extLst>
        </xdr:cNvPr>
        <xdr:cNvSpPr/>
      </xdr:nvSpPr>
      <xdr:spPr bwMode="auto">
        <a:xfrm>
          <a:off x="3867150" y="12954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8</xdr:col>
      <xdr:colOff>0</xdr:colOff>
      <xdr:row>33</xdr:row>
      <xdr:rowOff>114300</xdr:rowOff>
    </xdr:from>
    <xdr:to>
      <xdr:col>9</xdr:col>
      <xdr:colOff>723900</xdr:colOff>
      <xdr:row>34</xdr:row>
      <xdr:rowOff>0</xdr:rowOff>
    </xdr:to>
    <xdr:sp macro="" textlink="">
      <xdr:nvSpPr>
        <xdr:cNvPr id="143"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148D438F-07FB-4588-BEDE-8462EC5C5AA4}"/>
            </a:ext>
          </a:extLst>
        </xdr:cNvPr>
        <xdr:cNvSpPr/>
      </xdr:nvSpPr>
      <xdr:spPr bwMode="auto">
        <a:xfrm>
          <a:off x="1933575" y="11049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8</xdr:col>
      <xdr:colOff>0</xdr:colOff>
      <xdr:row>33</xdr:row>
      <xdr:rowOff>114300</xdr:rowOff>
    </xdr:from>
    <xdr:to>
      <xdr:col>9</xdr:col>
      <xdr:colOff>723900</xdr:colOff>
      <xdr:row>34</xdr:row>
      <xdr:rowOff>0</xdr:rowOff>
    </xdr:to>
    <xdr:sp macro="" textlink="">
      <xdr:nvSpPr>
        <xdr:cNvPr id="144"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3F728C26-F147-4835-AFF7-FA856657461F}"/>
            </a:ext>
          </a:extLst>
        </xdr:cNvPr>
        <xdr:cNvSpPr/>
      </xdr:nvSpPr>
      <xdr:spPr bwMode="auto">
        <a:xfrm>
          <a:off x="1933575" y="11049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8</xdr:col>
      <xdr:colOff>0</xdr:colOff>
      <xdr:row>33</xdr:row>
      <xdr:rowOff>114300</xdr:rowOff>
    </xdr:from>
    <xdr:to>
      <xdr:col>9</xdr:col>
      <xdr:colOff>723900</xdr:colOff>
      <xdr:row>34</xdr:row>
      <xdr:rowOff>0</xdr:rowOff>
    </xdr:to>
    <xdr:sp macro="" textlink="">
      <xdr:nvSpPr>
        <xdr:cNvPr id="145"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2E8D4968-F27C-464E-890E-5AD3F7F6C271}"/>
            </a:ext>
          </a:extLst>
        </xdr:cNvPr>
        <xdr:cNvSpPr/>
      </xdr:nvSpPr>
      <xdr:spPr bwMode="auto">
        <a:xfrm>
          <a:off x="1933575" y="11049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8</xdr:col>
      <xdr:colOff>0</xdr:colOff>
      <xdr:row>33</xdr:row>
      <xdr:rowOff>114300</xdr:rowOff>
    </xdr:from>
    <xdr:to>
      <xdr:col>9</xdr:col>
      <xdr:colOff>723900</xdr:colOff>
      <xdr:row>34</xdr:row>
      <xdr:rowOff>0</xdr:rowOff>
    </xdr:to>
    <xdr:sp macro="" textlink="">
      <xdr:nvSpPr>
        <xdr:cNvPr id="146"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BF8AFFE9-B53F-48CC-869B-70F325D377D6}"/>
            </a:ext>
          </a:extLst>
        </xdr:cNvPr>
        <xdr:cNvSpPr/>
      </xdr:nvSpPr>
      <xdr:spPr bwMode="auto">
        <a:xfrm>
          <a:off x="1933575" y="11049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6</xdr:col>
      <xdr:colOff>333375</xdr:colOff>
      <xdr:row>31</xdr:row>
      <xdr:rowOff>9525</xdr:rowOff>
    </xdr:from>
    <xdr:to>
      <xdr:col>7</xdr:col>
      <xdr:colOff>400050</xdr:colOff>
      <xdr:row>32</xdr:row>
      <xdr:rowOff>66675</xdr:rowOff>
    </xdr:to>
    <xdr:sp macro="" textlink="">
      <xdr:nvSpPr>
        <xdr:cNvPr id="14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B1EA5B33-1072-4F0D-AF2D-418BC039C2CD}"/>
            </a:ext>
          </a:extLst>
        </xdr:cNvPr>
        <xdr:cNvSpPr/>
      </xdr:nvSpPr>
      <xdr:spPr bwMode="auto">
        <a:xfrm>
          <a:off x="1933575" y="847725"/>
          <a:ext cx="2762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31</xdr:row>
      <xdr:rowOff>9525</xdr:rowOff>
    </xdr:from>
    <xdr:to>
      <xdr:col>8</xdr:col>
      <xdr:colOff>914400</xdr:colOff>
      <xdr:row>32</xdr:row>
      <xdr:rowOff>66675</xdr:rowOff>
    </xdr:to>
    <xdr:sp macro="" textlink="">
      <xdr:nvSpPr>
        <xdr:cNvPr id="14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75C69ED8-8C2A-4EFF-9E50-6FAFA4078998}"/>
            </a:ext>
          </a:extLst>
        </xdr:cNvPr>
        <xdr:cNvSpPr/>
      </xdr:nvSpPr>
      <xdr:spPr bwMode="auto">
        <a:xfrm>
          <a:off x="2209800" y="847725"/>
          <a:ext cx="2762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31</xdr:row>
      <xdr:rowOff>9525</xdr:rowOff>
    </xdr:from>
    <xdr:to>
      <xdr:col>7</xdr:col>
      <xdr:colOff>400050</xdr:colOff>
      <xdr:row>32</xdr:row>
      <xdr:rowOff>66675</xdr:rowOff>
    </xdr:to>
    <xdr:sp macro="" textlink="">
      <xdr:nvSpPr>
        <xdr:cNvPr id="14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590C18C3-6214-49A5-9B3A-71F7D02C81D8}"/>
            </a:ext>
          </a:extLst>
        </xdr:cNvPr>
        <xdr:cNvSpPr/>
      </xdr:nvSpPr>
      <xdr:spPr bwMode="auto">
        <a:xfrm>
          <a:off x="1933575" y="847725"/>
          <a:ext cx="2762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31</xdr:row>
      <xdr:rowOff>9525</xdr:rowOff>
    </xdr:from>
    <xdr:to>
      <xdr:col>8</xdr:col>
      <xdr:colOff>914400</xdr:colOff>
      <xdr:row>32</xdr:row>
      <xdr:rowOff>66675</xdr:rowOff>
    </xdr:to>
    <xdr:sp macro="" textlink="">
      <xdr:nvSpPr>
        <xdr:cNvPr id="15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2EEC6ED0-5502-4A11-ADD2-032AC8E414DC}"/>
            </a:ext>
          </a:extLst>
        </xdr:cNvPr>
        <xdr:cNvSpPr/>
      </xdr:nvSpPr>
      <xdr:spPr bwMode="auto">
        <a:xfrm>
          <a:off x="2209800" y="847725"/>
          <a:ext cx="2762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31</xdr:row>
      <xdr:rowOff>9525</xdr:rowOff>
    </xdr:from>
    <xdr:to>
      <xdr:col>7</xdr:col>
      <xdr:colOff>400050</xdr:colOff>
      <xdr:row>32</xdr:row>
      <xdr:rowOff>66675</xdr:rowOff>
    </xdr:to>
    <xdr:sp macro="" textlink="">
      <xdr:nvSpPr>
        <xdr:cNvPr id="15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3194B848-388A-49AD-BCFD-2C665E2A11AC}"/>
            </a:ext>
          </a:extLst>
        </xdr:cNvPr>
        <xdr:cNvSpPr/>
      </xdr:nvSpPr>
      <xdr:spPr bwMode="auto">
        <a:xfrm>
          <a:off x="1933575" y="847725"/>
          <a:ext cx="2762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31</xdr:row>
      <xdr:rowOff>9525</xdr:rowOff>
    </xdr:from>
    <xdr:to>
      <xdr:col>8</xdr:col>
      <xdr:colOff>914400</xdr:colOff>
      <xdr:row>32</xdr:row>
      <xdr:rowOff>66675</xdr:rowOff>
    </xdr:to>
    <xdr:sp macro="" textlink="">
      <xdr:nvSpPr>
        <xdr:cNvPr id="15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EB9C43D0-428C-4CF0-B949-FF2289FC7EBB}"/>
            </a:ext>
          </a:extLst>
        </xdr:cNvPr>
        <xdr:cNvSpPr/>
      </xdr:nvSpPr>
      <xdr:spPr bwMode="auto">
        <a:xfrm>
          <a:off x="2209800" y="847725"/>
          <a:ext cx="2762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333375</xdr:colOff>
      <xdr:row>31</xdr:row>
      <xdr:rowOff>9525</xdr:rowOff>
    </xdr:from>
    <xdr:to>
      <xdr:col>7</xdr:col>
      <xdr:colOff>400050</xdr:colOff>
      <xdr:row>32</xdr:row>
      <xdr:rowOff>66675</xdr:rowOff>
    </xdr:to>
    <xdr:sp macro="" textlink="">
      <xdr:nvSpPr>
        <xdr:cNvPr id="15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FB278483-EE51-45DF-800F-E3E75FF34323}"/>
            </a:ext>
          </a:extLst>
        </xdr:cNvPr>
        <xdr:cNvSpPr/>
      </xdr:nvSpPr>
      <xdr:spPr bwMode="auto">
        <a:xfrm>
          <a:off x="1933575" y="847725"/>
          <a:ext cx="2762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7</xdr:col>
      <xdr:colOff>400050</xdr:colOff>
      <xdr:row>31</xdr:row>
      <xdr:rowOff>9525</xdr:rowOff>
    </xdr:from>
    <xdr:to>
      <xdr:col>8</xdr:col>
      <xdr:colOff>914400</xdr:colOff>
      <xdr:row>32</xdr:row>
      <xdr:rowOff>66675</xdr:rowOff>
    </xdr:to>
    <xdr:sp macro="" textlink="">
      <xdr:nvSpPr>
        <xdr:cNvPr id="15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EBB7197B-7D8D-44A0-8005-A6D7E34E2472}"/>
            </a:ext>
          </a:extLst>
        </xdr:cNvPr>
        <xdr:cNvSpPr/>
      </xdr:nvSpPr>
      <xdr:spPr bwMode="auto">
        <a:xfrm>
          <a:off x="2209800" y="847725"/>
          <a:ext cx="2762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31</xdr:row>
      <xdr:rowOff>9525</xdr:rowOff>
    </xdr:from>
    <xdr:to>
      <xdr:col>14</xdr:col>
      <xdr:colOff>400050</xdr:colOff>
      <xdr:row>32</xdr:row>
      <xdr:rowOff>66675</xdr:rowOff>
    </xdr:to>
    <xdr:sp macro="" textlink="">
      <xdr:nvSpPr>
        <xdr:cNvPr id="15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D4F5FDF3-AD40-4556-AAF2-B2081BE97991}"/>
            </a:ext>
          </a:extLst>
        </xdr:cNvPr>
        <xdr:cNvSpPr/>
      </xdr:nvSpPr>
      <xdr:spPr bwMode="auto">
        <a:xfrm>
          <a:off x="3867150" y="847725"/>
          <a:ext cx="2762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31</xdr:row>
      <xdr:rowOff>9525</xdr:rowOff>
    </xdr:from>
    <xdr:to>
      <xdr:col>15</xdr:col>
      <xdr:colOff>914400</xdr:colOff>
      <xdr:row>32</xdr:row>
      <xdr:rowOff>66675</xdr:rowOff>
    </xdr:to>
    <xdr:sp macro="" textlink="">
      <xdr:nvSpPr>
        <xdr:cNvPr id="15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BFAA98EF-524C-4E17-9191-A341EDDEF9B2}"/>
            </a:ext>
          </a:extLst>
        </xdr:cNvPr>
        <xdr:cNvSpPr/>
      </xdr:nvSpPr>
      <xdr:spPr bwMode="auto">
        <a:xfrm>
          <a:off x="4143375" y="847725"/>
          <a:ext cx="2762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31</xdr:row>
      <xdr:rowOff>9525</xdr:rowOff>
    </xdr:from>
    <xdr:to>
      <xdr:col>14</xdr:col>
      <xdr:colOff>400050</xdr:colOff>
      <xdr:row>32</xdr:row>
      <xdr:rowOff>66675</xdr:rowOff>
    </xdr:to>
    <xdr:sp macro="" textlink="">
      <xdr:nvSpPr>
        <xdr:cNvPr id="15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97191C1C-1C6E-4837-A960-F36333C3EE74}"/>
            </a:ext>
          </a:extLst>
        </xdr:cNvPr>
        <xdr:cNvSpPr/>
      </xdr:nvSpPr>
      <xdr:spPr bwMode="auto">
        <a:xfrm>
          <a:off x="3867150" y="847725"/>
          <a:ext cx="2762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31</xdr:row>
      <xdr:rowOff>9525</xdr:rowOff>
    </xdr:from>
    <xdr:to>
      <xdr:col>15</xdr:col>
      <xdr:colOff>914400</xdr:colOff>
      <xdr:row>32</xdr:row>
      <xdr:rowOff>66675</xdr:rowOff>
    </xdr:to>
    <xdr:sp macro="" textlink="">
      <xdr:nvSpPr>
        <xdr:cNvPr id="15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0DFBBF2E-DC7D-429F-8B0B-D24E1A1A3C7B}"/>
            </a:ext>
          </a:extLst>
        </xdr:cNvPr>
        <xdr:cNvSpPr/>
      </xdr:nvSpPr>
      <xdr:spPr bwMode="auto">
        <a:xfrm>
          <a:off x="4143375" y="847725"/>
          <a:ext cx="2762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31</xdr:row>
      <xdr:rowOff>9525</xdr:rowOff>
    </xdr:from>
    <xdr:to>
      <xdr:col>14</xdr:col>
      <xdr:colOff>400050</xdr:colOff>
      <xdr:row>32</xdr:row>
      <xdr:rowOff>66675</xdr:rowOff>
    </xdr:to>
    <xdr:sp macro="" textlink="">
      <xdr:nvSpPr>
        <xdr:cNvPr id="15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DE2618B3-A28D-4CD7-97F1-BD221004BAAE}"/>
            </a:ext>
          </a:extLst>
        </xdr:cNvPr>
        <xdr:cNvSpPr/>
      </xdr:nvSpPr>
      <xdr:spPr bwMode="auto">
        <a:xfrm>
          <a:off x="3867150" y="847725"/>
          <a:ext cx="2762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31</xdr:row>
      <xdr:rowOff>9525</xdr:rowOff>
    </xdr:from>
    <xdr:to>
      <xdr:col>15</xdr:col>
      <xdr:colOff>914400</xdr:colOff>
      <xdr:row>32</xdr:row>
      <xdr:rowOff>66675</xdr:rowOff>
    </xdr:to>
    <xdr:sp macro="" textlink="">
      <xdr:nvSpPr>
        <xdr:cNvPr id="16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2B99BB9-8442-4E16-8991-8D5AFD679616}"/>
            </a:ext>
          </a:extLst>
        </xdr:cNvPr>
        <xdr:cNvSpPr/>
      </xdr:nvSpPr>
      <xdr:spPr bwMode="auto">
        <a:xfrm>
          <a:off x="4143375" y="847725"/>
          <a:ext cx="276225" cy="2476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31</xdr:row>
      <xdr:rowOff>9525</xdr:rowOff>
    </xdr:from>
    <xdr:to>
      <xdr:col>14</xdr:col>
      <xdr:colOff>400050</xdr:colOff>
      <xdr:row>32</xdr:row>
      <xdr:rowOff>66675</xdr:rowOff>
    </xdr:to>
    <xdr:sp macro="" textlink="">
      <xdr:nvSpPr>
        <xdr:cNvPr id="16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CCD9E2F9-037A-439E-BDFC-526CD8549BB8}"/>
            </a:ext>
          </a:extLst>
        </xdr:cNvPr>
        <xdr:cNvSpPr/>
      </xdr:nvSpPr>
      <xdr:spPr bwMode="auto">
        <a:xfrm>
          <a:off x="3867150" y="847725"/>
          <a:ext cx="2762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14</xdr:col>
      <xdr:colOff>400050</xdr:colOff>
      <xdr:row>31</xdr:row>
      <xdr:rowOff>9525</xdr:rowOff>
    </xdr:from>
    <xdr:to>
      <xdr:col>15</xdr:col>
      <xdr:colOff>914400</xdr:colOff>
      <xdr:row>32</xdr:row>
      <xdr:rowOff>66675</xdr:rowOff>
    </xdr:to>
    <xdr:sp macro="" textlink="">
      <xdr:nvSpPr>
        <xdr:cNvPr id="16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52E1DBEE-EBA8-4BB4-B6EE-15920B148D7B}"/>
            </a:ext>
          </a:extLst>
        </xdr:cNvPr>
        <xdr:cNvSpPr/>
      </xdr:nvSpPr>
      <xdr:spPr bwMode="auto">
        <a:xfrm>
          <a:off x="4143375" y="847725"/>
          <a:ext cx="276225" cy="2476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32</xdr:row>
      <xdr:rowOff>0</xdr:rowOff>
    </xdr:from>
    <xdr:to>
      <xdr:col>8</xdr:col>
      <xdr:colOff>400050</xdr:colOff>
      <xdr:row>32</xdr:row>
      <xdr:rowOff>66675</xdr:rowOff>
    </xdr:to>
    <xdr:sp macro="" textlink="">
      <xdr:nvSpPr>
        <xdr:cNvPr id="16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71E3B52D-7A24-475B-882C-DA9D86316317}"/>
            </a:ext>
          </a:extLst>
        </xdr:cNvPr>
        <xdr:cNvSpPr/>
      </xdr:nvSpPr>
      <xdr:spPr bwMode="auto">
        <a:xfrm>
          <a:off x="2209800" y="10287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8</xdr:col>
      <xdr:colOff>400050</xdr:colOff>
      <xdr:row>32</xdr:row>
      <xdr:rowOff>0</xdr:rowOff>
    </xdr:from>
    <xdr:to>
      <xdr:col>9</xdr:col>
      <xdr:colOff>914400</xdr:colOff>
      <xdr:row>32</xdr:row>
      <xdr:rowOff>66675</xdr:rowOff>
    </xdr:to>
    <xdr:sp macro="" textlink="">
      <xdr:nvSpPr>
        <xdr:cNvPr id="16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C89D28A0-5A74-4040-B9D7-BFC2978E244E}"/>
            </a:ext>
          </a:extLst>
        </xdr:cNvPr>
        <xdr:cNvSpPr/>
      </xdr:nvSpPr>
      <xdr:spPr bwMode="auto">
        <a:xfrm>
          <a:off x="2486025" y="10287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32</xdr:row>
      <xdr:rowOff>0</xdr:rowOff>
    </xdr:from>
    <xdr:to>
      <xdr:col>8</xdr:col>
      <xdr:colOff>400050</xdr:colOff>
      <xdr:row>32</xdr:row>
      <xdr:rowOff>66675</xdr:rowOff>
    </xdr:to>
    <xdr:sp macro="" textlink="">
      <xdr:nvSpPr>
        <xdr:cNvPr id="16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82BD827A-8750-4C5D-822C-596E13253702}"/>
            </a:ext>
          </a:extLst>
        </xdr:cNvPr>
        <xdr:cNvSpPr/>
      </xdr:nvSpPr>
      <xdr:spPr bwMode="auto">
        <a:xfrm>
          <a:off x="2209800" y="10287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8</xdr:col>
      <xdr:colOff>400050</xdr:colOff>
      <xdr:row>32</xdr:row>
      <xdr:rowOff>0</xdr:rowOff>
    </xdr:from>
    <xdr:to>
      <xdr:col>9</xdr:col>
      <xdr:colOff>914400</xdr:colOff>
      <xdr:row>32</xdr:row>
      <xdr:rowOff>66675</xdr:rowOff>
    </xdr:to>
    <xdr:sp macro="" textlink="">
      <xdr:nvSpPr>
        <xdr:cNvPr id="16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E4884E47-4407-4DB6-AD4B-D7432C6CCE3D}"/>
            </a:ext>
          </a:extLst>
        </xdr:cNvPr>
        <xdr:cNvSpPr/>
      </xdr:nvSpPr>
      <xdr:spPr bwMode="auto">
        <a:xfrm>
          <a:off x="2486025" y="10287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32</xdr:row>
      <xdr:rowOff>0</xdr:rowOff>
    </xdr:from>
    <xdr:to>
      <xdr:col>8</xdr:col>
      <xdr:colOff>400050</xdr:colOff>
      <xdr:row>32</xdr:row>
      <xdr:rowOff>66675</xdr:rowOff>
    </xdr:to>
    <xdr:sp macro="" textlink="">
      <xdr:nvSpPr>
        <xdr:cNvPr id="167"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49FE6168-98FF-4B01-8844-F5A24F5F8D20}"/>
            </a:ext>
          </a:extLst>
        </xdr:cNvPr>
        <xdr:cNvSpPr/>
      </xdr:nvSpPr>
      <xdr:spPr bwMode="auto">
        <a:xfrm>
          <a:off x="2209800" y="10287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8</xdr:col>
      <xdr:colOff>400050</xdr:colOff>
      <xdr:row>32</xdr:row>
      <xdr:rowOff>0</xdr:rowOff>
    </xdr:from>
    <xdr:to>
      <xdr:col>9</xdr:col>
      <xdr:colOff>914400</xdr:colOff>
      <xdr:row>32</xdr:row>
      <xdr:rowOff>66675</xdr:rowOff>
    </xdr:to>
    <xdr:sp macro="" textlink="">
      <xdr:nvSpPr>
        <xdr:cNvPr id="168"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C33E38B1-A877-4A8B-BF89-5CBF3A927853}"/>
            </a:ext>
          </a:extLst>
        </xdr:cNvPr>
        <xdr:cNvSpPr/>
      </xdr:nvSpPr>
      <xdr:spPr bwMode="auto">
        <a:xfrm>
          <a:off x="2486025" y="10287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7</xdr:col>
      <xdr:colOff>333375</xdr:colOff>
      <xdr:row>32</xdr:row>
      <xdr:rowOff>0</xdr:rowOff>
    </xdr:from>
    <xdr:to>
      <xdr:col>8</xdr:col>
      <xdr:colOff>400050</xdr:colOff>
      <xdr:row>32</xdr:row>
      <xdr:rowOff>66675</xdr:rowOff>
    </xdr:to>
    <xdr:sp macro="" textlink="">
      <xdr:nvSpPr>
        <xdr:cNvPr id="169"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2AB359AF-876E-4DD4-8BD0-EACD4312D908}"/>
            </a:ext>
          </a:extLst>
        </xdr:cNvPr>
        <xdr:cNvSpPr/>
      </xdr:nvSpPr>
      <xdr:spPr bwMode="auto">
        <a:xfrm>
          <a:off x="2209800" y="10287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8</xdr:col>
      <xdr:colOff>400050</xdr:colOff>
      <xdr:row>32</xdr:row>
      <xdr:rowOff>0</xdr:rowOff>
    </xdr:from>
    <xdr:to>
      <xdr:col>9</xdr:col>
      <xdr:colOff>914400</xdr:colOff>
      <xdr:row>32</xdr:row>
      <xdr:rowOff>66675</xdr:rowOff>
    </xdr:to>
    <xdr:sp macro="" textlink="">
      <xdr:nvSpPr>
        <xdr:cNvPr id="170"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9A27B8EB-ACD0-4CE6-920A-030515135CA0}"/>
            </a:ext>
          </a:extLst>
        </xdr:cNvPr>
        <xdr:cNvSpPr/>
      </xdr:nvSpPr>
      <xdr:spPr bwMode="auto">
        <a:xfrm>
          <a:off x="2486025" y="10287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32</xdr:row>
      <xdr:rowOff>0</xdr:rowOff>
    </xdr:from>
    <xdr:to>
      <xdr:col>15</xdr:col>
      <xdr:colOff>400050</xdr:colOff>
      <xdr:row>32</xdr:row>
      <xdr:rowOff>66675</xdr:rowOff>
    </xdr:to>
    <xdr:sp macro="" textlink="">
      <xdr:nvSpPr>
        <xdr:cNvPr id="171"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3851E131-17C5-4589-A449-ADBA4087B744}"/>
            </a:ext>
          </a:extLst>
        </xdr:cNvPr>
        <xdr:cNvSpPr/>
      </xdr:nvSpPr>
      <xdr:spPr bwMode="auto">
        <a:xfrm>
          <a:off x="4143375" y="10287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15</xdr:col>
      <xdr:colOff>400050</xdr:colOff>
      <xdr:row>32</xdr:row>
      <xdr:rowOff>0</xdr:rowOff>
    </xdr:from>
    <xdr:to>
      <xdr:col>16</xdr:col>
      <xdr:colOff>914400</xdr:colOff>
      <xdr:row>32</xdr:row>
      <xdr:rowOff>66675</xdr:rowOff>
    </xdr:to>
    <xdr:sp macro="" textlink="">
      <xdr:nvSpPr>
        <xdr:cNvPr id="172"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34879D09-E3E5-43AE-8739-E1F0D4DCD9C5}"/>
            </a:ext>
          </a:extLst>
        </xdr:cNvPr>
        <xdr:cNvSpPr/>
      </xdr:nvSpPr>
      <xdr:spPr bwMode="auto">
        <a:xfrm>
          <a:off x="4419600" y="10287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32</xdr:row>
      <xdr:rowOff>0</xdr:rowOff>
    </xdr:from>
    <xdr:to>
      <xdr:col>15</xdr:col>
      <xdr:colOff>400050</xdr:colOff>
      <xdr:row>32</xdr:row>
      <xdr:rowOff>66675</xdr:rowOff>
    </xdr:to>
    <xdr:sp macro="" textlink="">
      <xdr:nvSpPr>
        <xdr:cNvPr id="173"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C9C7EF0E-1748-4A44-8B54-1A3EB46BE303}"/>
            </a:ext>
          </a:extLst>
        </xdr:cNvPr>
        <xdr:cNvSpPr/>
      </xdr:nvSpPr>
      <xdr:spPr bwMode="auto">
        <a:xfrm>
          <a:off x="4143375" y="10287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15</xdr:col>
      <xdr:colOff>400050</xdr:colOff>
      <xdr:row>32</xdr:row>
      <xdr:rowOff>0</xdr:rowOff>
    </xdr:from>
    <xdr:to>
      <xdr:col>16</xdr:col>
      <xdr:colOff>914400</xdr:colOff>
      <xdr:row>32</xdr:row>
      <xdr:rowOff>66675</xdr:rowOff>
    </xdr:to>
    <xdr:sp macro="" textlink="">
      <xdr:nvSpPr>
        <xdr:cNvPr id="174"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3A86D548-29D3-4224-9805-EC5F5667C3B9}"/>
            </a:ext>
          </a:extLst>
        </xdr:cNvPr>
        <xdr:cNvSpPr/>
      </xdr:nvSpPr>
      <xdr:spPr bwMode="auto">
        <a:xfrm>
          <a:off x="4419600" y="10287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32</xdr:row>
      <xdr:rowOff>0</xdr:rowOff>
    </xdr:from>
    <xdr:to>
      <xdr:col>15</xdr:col>
      <xdr:colOff>400050</xdr:colOff>
      <xdr:row>32</xdr:row>
      <xdr:rowOff>66675</xdr:rowOff>
    </xdr:to>
    <xdr:sp macro="" textlink="">
      <xdr:nvSpPr>
        <xdr:cNvPr id="17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79889533-584E-4D28-BA77-D42975B9BE37}"/>
            </a:ext>
          </a:extLst>
        </xdr:cNvPr>
        <xdr:cNvSpPr/>
      </xdr:nvSpPr>
      <xdr:spPr bwMode="auto">
        <a:xfrm>
          <a:off x="4143375" y="10287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15</xdr:col>
      <xdr:colOff>400050</xdr:colOff>
      <xdr:row>32</xdr:row>
      <xdr:rowOff>0</xdr:rowOff>
    </xdr:from>
    <xdr:to>
      <xdr:col>16</xdr:col>
      <xdr:colOff>914400</xdr:colOff>
      <xdr:row>32</xdr:row>
      <xdr:rowOff>66675</xdr:rowOff>
    </xdr:to>
    <xdr:sp macro="" textlink="">
      <xdr:nvSpPr>
        <xdr:cNvPr id="17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F9C1C7A-2FF3-4873-AC77-C846C551D048}"/>
            </a:ext>
          </a:extLst>
        </xdr:cNvPr>
        <xdr:cNvSpPr/>
      </xdr:nvSpPr>
      <xdr:spPr bwMode="auto">
        <a:xfrm>
          <a:off x="4419600" y="1028700"/>
          <a:ext cx="276225" cy="6667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14</xdr:col>
      <xdr:colOff>333375</xdr:colOff>
      <xdr:row>32</xdr:row>
      <xdr:rowOff>0</xdr:rowOff>
    </xdr:from>
    <xdr:to>
      <xdr:col>15</xdr:col>
      <xdr:colOff>400050</xdr:colOff>
      <xdr:row>32</xdr:row>
      <xdr:rowOff>66675</xdr:rowOff>
    </xdr:to>
    <xdr:sp macro="" textlink="">
      <xdr:nvSpPr>
        <xdr:cNvPr id="17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D830E614-CE02-4DF5-945B-3D6FC104AA00}"/>
            </a:ext>
          </a:extLst>
        </xdr:cNvPr>
        <xdr:cNvSpPr/>
      </xdr:nvSpPr>
      <xdr:spPr bwMode="auto">
        <a:xfrm>
          <a:off x="4143375" y="10287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15</xdr:col>
      <xdr:colOff>400050</xdr:colOff>
      <xdr:row>32</xdr:row>
      <xdr:rowOff>0</xdr:rowOff>
    </xdr:from>
    <xdr:to>
      <xdr:col>16</xdr:col>
      <xdr:colOff>914400</xdr:colOff>
      <xdr:row>32</xdr:row>
      <xdr:rowOff>66675</xdr:rowOff>
    </xdr:to>
    <xdr:sp macro="" textlink="">
      <xdr:nvSpPr>
        <xdr:cNvPr id="17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4FBC0FA0-374A-4C5B-A8FC-97D505B758BB}"/>
            </a:ext>
          </a:extLst>
        </xdr:cNvPr>
        <xdr:cNvSpPr/>
      </xdr:nvSpPr>
      <xdr:spPr bwMode="auto">
        <a:xfrm>
          <a:off x="4419600" y="1028700"/>
          <a:ext cx="276225" cy="6667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13</xdr:col>
      <xdr:colOff>333375</xdr:colOff>
      <xdr:row>35</xdr:row>
      <xdr:rowOff>114300</xdr:rowOff>
    </xdr:from>
    <xdr:to>
      <xdr:col>15</xdr:col>
      <xdr:colOff>723900</xdr:colOff>
      <xdr:row>36</xdr:row>
      <xdr:rowOff>0</xdr:rowOff>
    </xdr:to>
    <xdr:sp macro="" textlink="">
      <xdr:nvSpPr>
        <xdr:cNvPr id="187"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7E2C8592-2621-4B26-8535-05F1F4D11F24}"/>
            </a:ext>
          </a:extLst>
        </xdr:cNvPr>
        <xdr:cNvSpPr/>
      </xdr:nvSpPr>
      <xdr:spPr bwMode="auto">
        <a:xfrm>
          <a:off x="3867150" y="42672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13</xdr:col>
      <xdr:colOff>333375</xdr:colOff>
      <xdr:row>35</xdr:row>
      <xdr:rowOff>114300</xdr:rowOff>
    </xdr:from>
    <xdr:to>
      <xdr:col>15</xdr:col>
      <xdr:colOff>723900</xdr:colOff>
      <xdr:row>36</xdr:row>
      <xdr:rowOff>0</xdr:rowOff>
    </xdr:to>
    <xdr:sp macro="" textlink="">
      <xdr:nvSpPr>
        <xdr:cNvPr id="188"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80631B79-233F-48EC-A60B-48E0926DE4E5}"/>
            </a:ext>
          </a:extLst>
        </xdr:cNvPr>
        <xdr:cNvSpPr/>
      </xdr:nvSpPr>
      <xdr:spPr bwMode="auto">
        <a:xfrm>
          <a:off x="3867150" y="42672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13</xdr:col>
      <xdr:colOff>333375</xdr:colOff>
      <xdr:row>35</xdr:row>
      <xdr:rowOff>114300</xdr:rowOff>
    </xdr:from>
    <xdr:to>
      <xdr:col>15</xdr:col>
      <xdr:colOff>723900</xdr:colOff>
      <xdr:row>36</xdr:row>
      <xdr:rowOff>0</xdr:rowOff>
    </xdr:to>
    <xdr:sp macro="" textlink="">
      <xdr:nvSpPr>
        <xdr:cNvPr id="189"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E32DD369-EE13-46B6-B62D-C4F464C79A2A}"/>
            </a:ext>
          </a:extLst>
        </xdr:cNvPr>
        <xdr:cNvSpPr/>
      </xdr:nvSpPr>
      <xdr:spPr bwMode="auto">
        <a:xfrm>
          <a:off x="3867150" y="42672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13</xdr:col>
      <xdr:colOff>333375</xdr:colOff>
      <xdr:row>35</xdr:row>
      <xdr:rowOff>114300</xdr:rowOff>
    </xdr:from>
    <xdr:to>
      <xdr:col>15</xdr:col>
      <xdr:colOff>723900</xdr:colOff>
      <xdr:row>36</xdr:row>
      <xdr:rowOff>0</xdr:rowOff>
    </xdr:to>
    <xdr:sp macro="" textlink="">
      <xdr:nvSpPr>
        <xdr:cNvPr id="190"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A081C1D8-70C6-4DA5-96DF-ECE13327B5AB}"/>
            </a:ext>
          </a:extLst>
        </xdr:cNvPr>
        <xdr:cNvSpPr/>
      </xdr:nvSpPr>
      <xdr:spPr bwMode="auto">
        <a:xfrm>
          <a:off x="3867150" y="42672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13</xdr:col>
      <xdr:colOff>333375</xdr:colOff>
      <xdr:row>35</xdr:row>
      <xdr:rowOff>114300</xdr:rowOff>
    </xdr:from>
    <xdr:to>
      <xdr:col>15</xdr:col>
      <xdr:colOff>723900</xdr:colOff>
      <xdr:row>36</xdr:row>
      <xdr:rowOff>0</xdr:rowOff>
    </xdr:to>
    <xdr:sp macro="" textlink="">
      <xdr:nvSpPr>
        <xdr:cNvPr id="191"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76792300-33F3-4C3E-81C0-D4A70E3EEB87}"/>
            </a:ext>
          </a:extLst>
        </xdr:cNvPr>
        <xdr:cNvSpPr/>
      </xdr:nvSpPr>
      <xdr:spPr bwMode="auto">
        <a:xfrm>
          <a:off x="3867150" y="42672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13</xdr:col>
      <xdr:colOff>333375</xdr:colOff>
      <xdr:row>35</xdr:row>
      <xdr:rowOff>114300</xdr:rowOff>
    </xdr:from>
    <xdr:to>
      <xdr:col>15</xdr:col>
      <xdr:colOff>723900</xdr:colOff>
      <xdr:row>36</xdr:row>
      <xdr:rowOff>0</xdr:rowOff>
    </xdr:to>
    <xdr:sp macro="" textlink="">
      <xdr:nvSpPr>
        <xdr:cNvPr id="192"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EE88BEF2-E374-4DD5-8E7B-2093DDBEBE68}"/>
            </a:ext>
          </a:extLst>
        </xdr:cNvPr>
        <xdr:cNvSpPr/>
      </xdr:nvSpPr>
      <xdr:spPr bwMode="auto">
        <a:xfrm>
          <a:off x="3867150" y="42672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13</xdr:col>
      <xdr:colOff>333375</xdr:colOff>
      <xdr:row>35</xdr:row>
      <xdr:rowOff>114300</xdr:rowOff>
    </xdr:from>
    <xdr:to>
      <xdr:col>15</xdr:col>
      <xdr:colOff>723900</xdr:colOff>
      <xdr:row>36</xdr:row>
      <xdr:rowOff>0</xdr:rowOff>
    </xdr:to>
    <xdr:sp macro="" textlink="">
      <xdr:nvSpPr>
        <xdr:cNvPr id="193" name="Check Box 52" descr="TAX CREDIT PROJECT (Check if YES)" hidden="1">
          <a:extLst>
            <a:ext uri="{63B3BB69-23CF-44E3-9099-C40C66FF867C}">
              <a14:compatExt xmlns:a14="http://schemas.microsoft.com/office/drawing/2010/main" spid="_x0000_s103476"/>
            </a:ext>
            <a:ext uri="{FF2B5EF4-FFF2-40B4-BE49-F238E27FC236}">
              <a16:creationId xmlns:a16="http://schemas.microsoft.com/office/drawing/2014/main" id="{BC438F82-7BFE-4003-AC7F-FAD1C5E01337}"/>
            </a:ext>
          </a:extLst>
        </xdr:cNvPr>
        <xdr:cNvSpPr/>
      </xdr:nvSpPr>
      <xdr:spPr bwMode="auto">
        <a:xfrm>
          <a:off x="3867150" y="4267200"/>
          <a:ext cx="552450" cy="762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13</xdr:col>
      <xdr:colOff>333375</xdr:colOff>
      <xdr:row>35</xdr:row>
      <xdr:rowOff>114300</xdr:rowOff>
    </xdr:from>
    <xdr:to>
      <xdr:col>15</xdr:col>
      <xdr:colOff>723900</xdr:colOff>
      <xdr:row>36</xdr:row>
      <xdr:rowOff>0</xdr:rowOff>
    </xdr:to>
    <xdr:sp macro="" textlink="">
      <xdr:nvSpPr>
        <xdr:cNvPr id="194" name="Check Box 113" descr="TAX CREDIT PROJECT (Check if YES)" hidden="1">
          <a:extLst>
            <a:ext uri="{63B3BB69-23CF-44E3-9099-C40C66FF867C}">
              <a14:compatExt xmlns:a14="http://schemas.microsoft.com/office/drawing/2010/main" spid="_x0000_s103537"/>
            </a:ext>
            <a:ext uri="{FF2B5EF4-FFF2-40B4-BE49-F238E27FC236}">
              <a16:creationId xmlns:a16="http://schemas.microsoft.com/office/drawing/2014/main" id="{481841AD-F659-48BB-9CB5-5EE0F0799A35}"/>
            </a:ext>
          </a:extLst>
        </xdr:cNvPr>
        <xdr:cNvSpPr/>
      </xdr:nvSpPr>
      <xdr:spPr bwMode="auto">
        <a:xfrm>
          <a:off x="3867150" y="4267200"/>
          <a:ext cx="552450" cy="762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HCD FUNDING SOURCES </a:t>
          </a:r>
        </a:p>
      </xdr:txBody>
    </xdr:sp>
    <xdr:clientData/>
  </xdr:twoCellAnchor>
  <xdr:twoCellAnchor>
    <xdr:from>
      <xdr:col>19</xdr:col>
      <xdr:colOff>333375</xdr:colOff>
      <xdr:row>13</xdr:row>
      <xdr:rowOff>0</xdr:rowOff>
    </xdr:from>
    <xdr:to>
      <xdr:col>20</xdr:col>
      <xdr:colOff>400050</xdr:colOff>
      <xdr:row>27</xdr:row>
      <xdr:rowOff>66675</xdr:rowOff>
    </xdr:to>
    <xdr:sp macro="" textlink="">
      <xdr:nvSpPr>
        <xdr:cNvPr id="17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ED00BBCF-89A8-41D9-A630-72A0284F3FD3}"/>
            </a:ext>
          </a:extLst>
        </xdr:cNvPr>
        <xdr:cNvSpPr/>
      </xdr:nvSpPr>
      <xdr:spPr bwMode="auto">
        <a:xfrm>
          <a:off x="1933575" y="3505200"/>
          <a:ext cx="276225" cy="195262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13</xdr:row>
      <xdr:rowOff>0</xdr:rowOff>
    </xdr:from>
    <xdr:to>
      <xdr:col>21</xdr:col>
      <xdr:colOff>914400</xdr:colOff>
      <xdr:row>27</xdr:row>
      <xdr:rowOff>66675</xdr:rowOff>
    </xdr:to>
    <xdr:sp macro="" textlink="">
      <xdr:nvSpPr>
        <xdr:cNvPr id="18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60284105-8DF3-434E-AB8E-3B992EC63AB7}"/>
            </a:ext>
          </a:extLst>
        </xdr:cNvPr>
        <xdr:cNvSpPr/>
      </xdr:nvSpPr>
      <xdr:spPr bwMode="auto">
        <a:xfrm>
          <a:off x="2209800" y="3505200"/>
          <a:ext cx="276225" cy="195262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13</xdr:row>
      <xdr:rowOff>0</xdr:rowOff>
    </xdr:from>
    <xdr:to>
      <xdr:col>20</xdr:col>
      <xdr:colOff>400050</xdr:colOff>
      <xdr:row>27</xdr:row>
      <xdr:rowOff>66675</xdr:rowOff>
    </xdr:to>
    <xdr:sp macro="" textlink="">
      <xdr:nvSpPr>
        <xdr:cNvPr id="18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A349DBED-BDBA-4BB7-9ABD-0A24C73FEAF6}"/>
            </a:ext>
          </a:extLst>
        </xdr:cNvPr>
        <xdr:cNvSpPr/>
      </xdr:nvSpPr>
      <xdr:spPr bwMode="auto">
        <a:xfrm>
          <a:off x="1933575" y="3505200"/>
          <a:ext cx="276225" cy="195262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13</xdr:row>
      <xdr:rowOff>0</xdr:rowOff>
    </xdr:from>
    <xdr:to>
      <xdr:col>21</xdr:col>
      <xdr:colOff>914400</xdr:colOff>
      <xdr:row>27</xdr:row>
      <xdr:rowOff>66675</xdr:rowOff>
    </xdr:to>
    <xdr:sp macro="" textlink="">
      <xdr:nvSpPr>
        <xdr:cNvPr id="18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29D681F8-9CCB-4199-923A-51D6A6E44A97}"/>
            </a:ext>
          </a:extLst>
        </xdr:cNvPr>
        <xdr:cNvSpPr/>
      </xdr:nvSpPr>
      <xdr:spPr bwMode="auto">
        <a:xfrm>
          <a:off x="2209800" y="3505200"/>
          <a:ext cx="276225" cy="195262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13</xdr:row>
      <xdr:rowOff>0</xdr:rowOff>
    </xdr:from>
    <xdr:to>
      <xdr:col>20</xdr:col>
      <xdr:colOff>400050</xdr:colOff>
      <xdr:row>27</xdr:row>
      <xdr:rowOff>66675</xdr:rowOff>
    </xdr:to>
    <xdr:sp macro="" textlink="">
      <xdr:nvSpPr>
        <xdr:cNvPr id="183"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CA9B2A75-104C-4BD6-AEE3-AA8503676A2E}"/>
            </a:ext>
          </a:extLst>
        </xdr:cNvPr>
        <xdr:cNvSpPr/>
      </xdr:nvSpPr>
      <xdr:spPr bwMode="auto">
        <a:xfrm>
          <a:off x="1933575" y="3505200"/>
          <a:ext cx="276225" cy="195262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13</xdr:row>
      <xdr:rowOff>0</xdr:rowOff>
    </xdr:from>
    <xdr:to>
      <xdr:col>21</xdr:col>
      <xdr:colOff>914400</xdr:colOff>
      <xdr:row>27</xdr:row>
      <xdr:rowOff>66675</xdr:rowOff>
    </xdr:to>
    <xdr:sp macro="" textlink="">
      <xdr:nvSpPr>
        <xdr:cNvPr id="184"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9AA54E50-8379-4581-BE99-3B062CCB1A2D}"/>
            </a:ext>
          </a:extLst>
        </xdr:cNvPr>
        <xdr:cNvSpPr/>
      </xdr:nvSpPr>
      <xdr:spPr bwMode="auto">
        <a:xfrm>
          <a:off x="2209800" y="3505200"/>
          <a:ext cx="276225" cy="1952625"/>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13</xdr:row>
      <xdr:rowOff>0</xdr:rowOff>
    </xdr:from>
    <xdr:to>
      <xdr:col>20</xdr:col>
      <xdr:colOff>400050</xdr:colOff>
      <xdr:row>27</xdr:row>
      <xdr:rowOff>66675</xdr:rowOff>
    </xdr:to>
    <xdr:sp macro="" textlink="">
      <xdr:nvSpPr>
        <xdr:cNvPr id="185"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7851B498-7743-4306-9A4A-BDA92CB8D978}"/>
            </a:ext>
          </a:extLst>
        </xdr:cNvPr>
        <xdr:cNvSpPr/>
      </xdr:nvSpPr>
      <xdr:spPr bwMode="auto">
        <a:xfrm>
          <a:off x="1933575" y="3505200"/>
          <a:ext cx="276225" cy="195262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13</xdr:row>
      <xdr:rowOff>0</xdr:rowOff>
    </xdr:from>
    <xdr:to>
      <xdr:col>21</xdr:col>
      <xdr:colOff>914400</xdr:colOff>
      <xdr:row>27</xdr:row>
      <xdr:rowOff>66675</xdr:rowOff>
    </xdr:to>
    <xdr:sp macro="" textlink="">
      <xdr:nvSpPr>
        <xdr:cNvPr id="186"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3C6BC0FD-61EA-404F-8F4F-D9B98D2AED0A}"/>
            </a:ext>
          </a:extLst>
        </xdr:cNvPr>
        <xdr:cNvSpPr/>
      </xdr:nvSpPr>
      <xdr:spPr bwMode="auto">
        <a:xfrm>
          <a:off x="2209800" y="3505200"/>
          <a:ext cx="276225" cy="1952625"/>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13</xdr:row>
      <xdr:rowOff>0</xdr:rowOff>
    </xdr:from>
    <xdr:to>
      <xdr:col>20</xdr:col>
      <xdr:colOff>400050</xdr:colOff>
      <xdr:row>28</xdr:row>
      <xdr:rowOff>0</xdr:rowOff>
    </xdr:to>
    <xdr:sp macro="" textlink="">
      <xdr:nvSpPr>
        <xdr:cNvPr id="195"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8F89D739-DACE-4B98-B957-BE3692D94878}"/>
            </a:ext>
          </a:extLst>
        </xdr:cNvPr>
        <xdr:cNvSpPr/>
      </xdr:nvSpPr>
      <xdr:spPr bwMode="auto">
        <a:xfrm>
          <a:off x="1933575" y="3505200"/>
          <a:ext cx="276225" cy="21145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13</xdr:row>
      <xdr:rowOff>0</xdr:rowOff>
    </xdr:from>
    <xdr:to>
      <xdr:col>21</xdr:col>
      <xdr:colOff>914400</xdr:colOff>
      <xdr:row>28</xdr:row>
      <xdr:rowOff>0</xdr:rowOff>
    </xdr:to>
    <xdr:sp macro="" textlink="">
      <xdr:nvSpPr>
        <xdr:cNvPr id="196"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048A564F-FDA7-400A-BDCA-B820B40D61F1}"/>
            </a:ext>
          </a:extLst>
        </xdr:cNvPr>
        <xdr:cNvSpPr/>
      </xdr:nvSpPr>
      <xdr:spPr bwMode="auto">
        <a:xfrm>
          <a:off x="2209800" y="3505200"/>
          <a:ext cx="276225" cy="21145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13</xdr:row>
      <xdr:rowOff>0</xdr:rowOff>
    </xdr:from>
    <xdr:to>
      <xdr:col>20</xdr:col>
      <xdr:colOff>400050</xdr:colOff>
      <xdr:row>28</xdr:row>
      <xdr:rowOff>0</xdr:rowOff>
    </xdr:to>
    <xdr:sp macro="" textlink="">
      <xdr:nvSpPr>
        <xdr:cNvPr id="197"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47A5D6BE-F24C-41C6-B838-CC5E120EDEC6}"/>
            </a:ext>
          </a:extLst>
        </xdr:cNvPr>
        <xdr:cNvSpPr/>
      </xdr:nvSpPr>
      <xdr:spPr bwMode="auto">
        <a:xfrm>
          <a:off x="1933575" y="3505200"/>
          <a:ext cx="276225" cy="21145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13</xdr:row>
      <xdr:rowOff>0</xdr:rowOff>
    </xdr:from>
    <xdr:to>
      <xdr:col>21</xdr:col>
      <xdr:colOff>914400</xdr:colOff>
      <xdr:row>28</xdr:row>
      <xdr:rowOff>0</xdr:rowOff>
    </xdr:to>
    <xdr:sp macro="" textlink="">
      <xdr:nvSpPr>
        <xdr:cNvPr id="198"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DD47C01D-313D-4333-9F2F-7618F1379F34}"/>
            </a:ext>
          </a:extLst>
        </xdr:cNvPr>
        <xdr:cNvSpPr/>
      </xdr:nvSpPr>
      <xdr:spPr bwMode="auto">
        <a:xfrm>
          <a:off x="2209800" y="3505200"/>
          <a:ext cx="276225" cy="21145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13</xdr:row>
      <xdr:rowOff>0</xdr:rowOff>
    </xdr:from>
    <xdr:to>
      <xdr:col>20</xdr:col>
      <xdr:colOff>400050</xdr:colOff>
      <xdr:row>28</xdr:row>
      <xdr:rowOff>0</xdr:rowOff>
    </xdr:to>
    <xdr:sp macro="" textlink="">
      <xdr:nvSpPr>
        <xdr:cNvPr id="199" name="Check Box 51" descr="TAX CREDIT PROJECT (Check if YES)" hidden="1">
          <a:extLst>
            <a:ext uri="{63B3BB69-23CF-44E3-9099-C40C66FF867C}">
              <a14:compatExt xmlns:a14="http://schemas.microsoft.com/office/drawing/2010/main" spid="_x0000_s103475"/>
            </a:ext>
            <a:ext uri="{FF2B5EF4-FFF2-40B4-BE49-F238E27FC236}">
              <a16:creationId xmlns:a16="http://schemas.microsoft.com/office/drawing/2014/main" id="{4AF98534-4233-4618-AD6C-2836C737484E}"/>
            </a:ext>
          </a:extLst>
        </xdr:cNvPr>
        <xdr:cNvSpPr/>
      </xdr:nvSpPr>
      <xdr:spPr bwMode="auto">
        <a:xfrm>
          <a:off x="1933575" y="3505200"/>
          <a:ext cx="276225" cy="21145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13</xdr:row>
      <xdr:rowOff>0</xdr:rowOff>
    </xdr:from>
    <xdr:to>
      <xdr:col>21</xdr:col>
      <xdr:colOff>914400</xdr:colOff>
      <xdr:row>28</xdr:row>
      <xdr:rowOff>0</xdr:rowOff>
    </xdr:to>
    <xdr:sp macro="" textlink="">
      <xdr:nvSpPr>
        <xdr:cNvPr id="200" name="Check Box 90" descr="TAX CREDIT PROJECT (Check if YES)" hidden="1">
          <a:extLst>
            <a:ext uri="{63B3BB69-23CF-44E3-9099-C40C66FF867C}">
              <a14:compatExt xmlns:a14="http://schemas.microsoft.com/office/drawing/2010/main" spid="_x0000_s103514"/>
            </a:ext>
            <a:ext uri="{FF2B5EF4-FFF2-40B4-BE49-F238E27FC236}">
              <a16:creationId xmlns:a16="http://schemas.microsoft.com/office/drawing/2014/main" id="{BC22837E-4143-4ADE-A2CB-65641D9B364D}"/>
            </a:ext>
          </a:extLst>
        </xdr:cNvPr>
        <xdr:cNvSpPr/>
      </xdr:nvSpPr>
      <xdr:spPr bwMode="auto">
        <a:xfrm>
          <a:off x="2209800" y="3505200"/>
          <a:ext cx="276225" cy="211455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19</xdr:col>
      <xdr:colOff>333375</xdr:colOff>
      <xdr:row>13</xdr:row>
      <xdr:rowOff>0</xdr:rowOff>
    </xdr:from>
    <xdr:to>
      <xdr:col>20</xdr:col>
      <xdr:colOff>400050</xdr:colOff>
      <xdr:row>28</xdr:row>
      <xdr:rowOff>0</xdr:rowOff>
    </xdr:to>
    <xdr:sp macro="" textlink="">
      <xdr:nvSpPr>
        <xdr:cNvPr id="201" name="Check Box 112" descr="TAX CREDIT PROJECT (Check if YES)" hidden="1">
          <a:extLst>
            <a:ext uri="{63B3BB69-23CF-44E3-9099-C40C66FF867C}">
              <a14:compatExt xmlns:a14="http://schemas.microsoft.com/office/drawing/2010/main" spid="_x0000_s103536"/>
            </a:ext>
            <a:ext uri="{FF2B5EF4-FFF2-40B4-BE49-F238E27FC236}">
              <a16:creationId xmlns:a16="http://schemas.microsoft.com/office/drawing/2014/main" id="{95846982-2FBE-4AE0-9B72-D689D4816635}"/>
            </a:ext>
          </a:extLst>
        </xdr:cNvPr>
        <xdr:cNvSpPr/>
      </xdr:nvSpPr>
      <xdr:spPr bwMode="auto">
        <a:xfrm>
          <a:off x="1933575" y="3505200"/>
          <a:ext cx="276225" cy="21145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4%  TAX CREDIT </a:t>
          </a:r>
        </a:p>
      </xdr:txBody>
    </xdr:sp>
    <xdr:clientData/>
  </xdr:twoCellAnchor>
  <xdr:twoCellAnchor>
    <xdr:from>
      <xdr:col>20</xdr:col>
      <xdr:colOff>400050</xdr:colOff>
      <xdr:row>13</xdr:row>
      <xdr:rowOff>0</xdr:rowOff>
    </xdr:from>
    <xdr:to>
      <xdr:col>21</xdr:col>
      <xdr:colOff>914400</xdr:colOff>
      <xdr:row>28</xdr:row>
      <xdr:rowOff>0</xdr:rowOff>
    </xdr:to>
    <xdr:sp macro="" textlink="">
      <xdr:nvSpPr>
        <xdr:cNvPr id="202" name="Check Box 114" descr="TAX CREDIT PROJECT (Check if YES)" hidden="1">
          <a:extLst>
            <a:ext uri="{63B3BB69-23CF-44E3-9099-C40C66FF867C}">
              <a14:compatExt xmlns:a14="http://schemas.microsoft.com/office/drawing/2010/main" spid="_x0000_s103538"/>
            </a:ext>
            <a:ext uri="{FF2B5EF4-FFF2-40B4-BE49-F238E27FC236}">
              <a16:creationId xmlns:a16="http://schemas.microsoft.com/office/drawing/2014/main" id="{31CC041D-8156-480B-B8B6-43D7570BC2E7}"/>
            </a:ext>
          </a:extLst>
        </xdr:cNvPr>
        <xdr:cNvSpPr/>
      </xdr:nvSpPr>
      <xdr:spPr bwMode="auto">
        <a:xfrm>
          <a:off x="2209800" y="3505200"/>
          <a:ext cx="276225" cy="211455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9%  TAX CREDIT </a:t>
          </a:r>
        </a:p>
      </xdr:txBody>
    </xdr:sp>
    <xdr:clientData/>
  </xdr:twoCellAnchor>
  <xdr:twoCellAnchor>
    <xdr:from>
      <xdr:col>6</xdr:col>
      <xdr:colOff>323850</xdr:colOff>
      <xdr:row>35</xdr:row>
      <xdr:rowOff>0</xdr:rowOff>
    </xdr:from>
    <xdr:to>
      <xdr:col>8</xdr:col>
      <xdr:colOff>714375</xdr:colOff>
      <xdr:row>38</xdr:row>
      <xdr:rowOff>0</xdr:rowOff>
    </xdr:to>
    <xdr:sp macro="" textlink="">
      <xdr:nvSpPr>
        <xdr:cNvPr id="203" name="Check Box 50" hidden="1">
          <a:extLst>
            <a:ext uri="{63B3BB69-23CF-44E3-9099-C40C66FF867C}">
              <a14:compatExt xmlns:a14="http://schemas.microsoft.com/office/drawing/2010/main" spid="_x0000_s103474"/>
            </a:ext>
            <a:ext uri="{FF2B5EF4-FFF2-40B4-BE49-F238E27FC236}">
              <a16:creationId xmlns:a16="http://schemas.microsoft.com/office/drawing/2014/main" id="{0AC31FC5-D9E9-4F5E-B9A6-EE93DC284CE3}"/>
            </a:ext>
          </a:extLst>
        </xdr:cNvPr>
        <xdr:cNvSpPr/>
      </xdr:nvSpPr>
      <xdr:spPr bwMode="auto">
        <a:xfrm>
          <a:off x="1933575" y="8286750"/>
          <a:ext cx="552450" cy="1524000"/>
        </a:xfrm>
        <a:prstGeom prst="rect">
          <a:avLst/>
        </a:prstGeom>
        <a:solidFill>
          <a:srgbClr val="FFFFC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SPACE</a:t>
          </a:r>
        </a:p>
      </xdr:txBody>
    </xdr:sp>
    <xdr:clientData/>
  </xdr:twoCellAnchor>
  <xdr:twoCellAnchor>
    <xdr:from>
      <xdr:col>6</xdr:col>
      <xdr:colOff>323850</xdr:colOff>
      <xdr:row>35</xdr:row>
      <xdr:rowOff>0</xdr:rowOff>
    </xdr:from>
    <xdr:to>
      <xdr:col>8</xdr:col>
      <xdr:colOff>714375</xdr:colOff>
      <xdr:row>38</xdr:row>
      <xdr:rowOff>0</xdr:rowOff>
    </xdr:to>
    <xdr:sp macro="" textlink="">
      <xdr:nvSpPr>
        <xdr:cNvPr id="204" name="Check Box 111" hidden="1">
          <a:extLst>
            <a:ext uri="{63B3BB69-23CF-44E3-9099-C40C66FF867C}">
              <a14:compatExt xmlns:a14="http://schemas.microsoft.com/office/drawing/2010/main" spid="_x0000_s103535"/>
            </a:ext>
            <a:ext uri="{FF2B5EF4-FFF2-40B4-BE49-F238E27FC236}">
              <a16:creationId xmlns:a16="http://schemas.microsoft.com/office/drawing/2014/main" id="{499C109E-143C-49F7-BB7A-834210412C32}"/>
            </a:ext>
          </a:extLst>
        </xdr:cNvPr>
        <xdr:cNvSpPr/>
      </xdr:nvSpPr>
      <xdr:spPr bwMode="auto">
        <a:xfrm>
          <a:off x="1933575" y="8286750"/>
          <a:ext cx="552450" cy="1524000"/>
        </a:xfrm>
        <a:prstGeom prst="rect">
          <a:avLst/>
        </a:prstGeom>
        <a:noFill/>
        <a:ln>
          <a:noFill/>
        </a:ln>
        <a:extLst>
          <a:ext uri="{909E8E84-426E-40DD-AFC4-6F175D3DCCD1}">
            <a14:hiddenFill xmlns:a14="http://schemas.microsoft.com/office/drawing/2010/main">
              <a:solidFill>
                <a:srgbClr val="FFFFC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COMMERCIAL SPACE</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17</xdr:col>
      <xdr:colOff>142010</xdr:colOff>
      <xdr:row>16</xdr:row>
      <xdr:rowOff>292679</xdr:rowOff>
    </xdr:from>
    <xdr:to>
      <xdr:col>22</xdr:col>
      <xdr:colOff>11835</xdr:colOff>
      <xdr:row>17</xdr:row>
      <xdr:rowOff>330777</xdr:rowOff>
    </xdr:to>
    <xdr:sp macro="" textlink="">
      <xdr:nvSpPr>
        <xdr:cNvPr id="5" name="Text Box 2" hidden="1">
          <a:extLst>
            <a:ext uri="{FF2B5EF4-FFF2-40B4-BE49-F238E27FC236}">
              <a16:creationId xmlns:a16="http://schemas.microsoft.com/office/drawing/2014/main" id="{79024D39-F5F6-4B24-944C-49A55CF00A48}"/>
            </a:ext>
          </a:extLst>
        </xdr:cNvPr>
        <xdr:cNvSpPr txBox="1">
          <a:spLocks noChangeArrowheads="1"/>
        </xdr:cNvSpPr>
      </xdr:nvSpPr>
      <xdr:spPr bwMode="auto">
        <a:xfrm>
          <a:off x="4841010" y="5915604"/>
          <a:ext cx="1244600" cy="41909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hcd.sharepoint.com/sites/Homekey2.0ApplicationTeam/Shared%20Documents/General/UAHC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odine\Downloads\UAHC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FILES\groups\Users\grodine\Downloads\universalappli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hcd.sharepoint.com/SCIP/ROUND%203/Application/Application%20Workbook/App%20Draft%20Rnd%203%20george/universalapplic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QFILES\groups\Users\dtruong\AppData\Local\Microsoft\Windows\INetCache\Content.Outlook\XEM5613Y\UAMacroVersion%20(9)%20NPLH%20with%20COSR%20Calculator.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ahcd-my.sharepoint.com/SCIP/ROUND%203/Application/Application%20Workbook/App%20Draft%20Rnd%203%20george/universalapplic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QFILES\groups\DFA\Programs\VHHP\4.%20VHHP%20Round%203%20(12-14-16)%20Planning\Application\Copy%20of%20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Income Limits"/>
      <sheetName val="NPLH COSR Calculation"/>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Contacts"/>
      <sheetName val="Narrative "/>
      <sheetName val="Site &amp; Units"/>
      <sheetName val="Misc."/>
      <sheetName val="Rents "/>
      <sheetName val="NPLH Rents"/>
      <sheetName val="HHC Rents"/>
      <sheetName val="Subsidies"/>
      <sheetName val="Dev Sources"/>
      <sheetName val="Dev Budget"/>
      <sheetName val="Perm S&amp;U"/>
      <sheetName val="TBL and High Cost Test"/>
      <sheetName val="Dev Fee 2019"/>
      <sheetName val="Dev Fee 2017 UMR"/>
      <sheetName val="Supportive Services Costs"/>
      <sheetName val="Reserves"/>
      <sheetName val="Operating "/>
      <sheetName val="Cash Flow"/>
      <sheetName val="HHC COSR Calculation"/>
      <sheetName val="UA Mapping"/>
      <sheetName val="NPLH COSR Calculation"/>
      <sheetName val="Income Limits"/>
      <sheetName val="Experience"/>
      <sheetName val="Certifications"/>
      <sheetName val="Legal Status"/>
      <sheetName val="Application Support"/>
      <sheetName val="Extractor"/>
      <sheetName val="HHC COSR PU Amounts"/>
      <sheetName val="NPLH COSR PU Amounts"/>
      <sheetName val="SD_Dropdowns"/>
      <sheetName val="Drop Down"/>
      <sheetName val="Contact Names Formu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NPLH Rents"/>
      <sheetName val="Subsidies"/>
      <sheetName val="Dev Sources"/>
      <sheetName val="Dev Budget"/>
      <sheetName val="Perm S&amp;U"/>
      <sheetName val="Dev Fee Instructions"/>
      <sheetName val="Dev Fee"/>
      <sheetName val="Supportive Services Costs"/>
      <sheetName val="Operating "/>
      <sheetName val="Cash Flow"/>
      <sheetName val="NPLH COSR Calculation"/>
      <sheetName val="9% COSR"/>
      <sheetName val="Income Limits"/>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key.hcd.ca.gov/" TargetMode="External"/><Relationship Id="rId1" Type="http://schemas.openxmlformats.org/officeDocument/2006/relationships/hyperlink" Target="http://www.hcd.ca.gov/grants-funding/active-funding/nplh.s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mailto:appsupport@hcd.ca.gov" TargetMode="External"/><Relationship Id="rId7" Type="http://schemas.openxmlformats.org/officeDocument/2006/relationships/comments" Target="../comments1.xml"/><Relationship Id="rId2" Type="http://schemas.openxmlformats.org/officeDocument/2006/relationships/hyperlink" Target="mailto:homekey@hcd.ca.gov" TargetMode="External"/><Relationship Id="rId1" Type="http://schemas.openxmlformats.org/officeDocument/2006/relationships/hyperlink" Target="https://www.treasurer.ca.gov/ctcac/2020/applications/2020-methodology-for-determining-rural-status.pdf"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homekey.hcd.ca.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homekey.hcd.ca.gov/content/program-forms" TargetMode="External"/><Relationship Id="rId2" Type="http://schemas.openxmlformats.org/officeDocument/2006/relationships/hyperlink" Target="https://homekey.hcd.ca.gov/" TargetMode="External"/><Relationship Id="rId1" Type="http://schemas.openxmlformats.org/officeDocument/2006/relationships/hyperlink" Target="http://www.sos.ca.gov/business-programs/business-entities/forms" TargetMode="External"/><Relationship Id="rId5" Type="http://schemas.openxmlformats.org/officeDocument/2006/relationships/printerSettings" Target="../printerSettings/printerSettings5.bin"/><Relationship Id="rId4" Type="http://schemas.openxmlformats.org/officeDocument/2006/relationships/hyperlink" Target="https://homekey.hcd.ca.gov/content/program-form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files.hudexchange.info/resources/documents/btlnat2_6.pdf"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hyperlink" Target="https://www.hcd.ca.gov/grants-funding/active-funding/homekey.shtml"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249977111117893"/>
    <pageSetUpPr fitToPage="1"/>
  </sheetPr>
  <dimension ref="A5:W43"/>
  <sheetViews>
    <sheetView showGridLines="0" tabSelected="1" view="pageLayout" zoomScaleNormal="100" workbookViewId="0">
      <selection activeCell="T13" sqref="T13"/>
    </sheetView>
  </sheetViews>
  <sheetFormatPr defaultColWidth="10.453125" defaultRowHeight="11.5"/>
  <cols>
    <col min="1" max="1" width="4.1796875" style="15" customWidth="1"/>
    <col min="2" max="2" width="4.54296875" style="15" customWidth="1"/>
    <col min="3" max="37" width="4.1796875" style="15" customWidth="1"/>
    <col min="38" max="38" width="5.54296875" style="15" customWidth="1"/>
    <col min="39" max="16384" width="10.453125" style="15"/>
  </cols>
  <sheetData>
    <row r="5" spans="1:23" ht="32.5">
      <c r="A5" s="626" t="s">
        <v>0</v>
      </c>
      <c r="B5" s="626"/>
      <c r="C5" s="626"/>
      <c r="D5" s="626"/>
      <c r="E5" s="626"/>
      <c r="F5" s="626"/>
      <c r="G5" s="626"/>
      <c r="H5" s="626"/>
      <c r="I5" s="626"/>
      <c r="J5" s="626"/>
      <c r="K5" s="626"/>
      <c r="L5" s="626"/>
      <c r="M5" s="626"/>
      <c r="N5" s="626"/>
      <c r="O5" s="626"/>
      <c r="P5" s="626"/>
      <c r="Q5" s="626"/>
      <c r="R5" s="626"/>
      <c r="S5" s="626"/>
      <c r="T5" s="626"/>
      <c r="U5" s="626"/>
      <c r="V5" s="626"/>
      <c r="W5" s="626"/>
    </row>
    <row r="6" spans="1:23" s="18" customFormat="1" ht="26.25" customHeight="1">
      <c r="A6" s="628" t="s">
        <v>1</v>
      </c>
      <c r="B6" s="628"/>
      <c r="C6" s="628"/>
      <c r="D6" s="628"/>
      <c r="E6" s="628"/>
      <c r="F6" s="628"/>
      <c r="G6" s="628"/>
      <c r="H6" s="628"/>
      <c r="I6" s="628"/>
      <c r="J6" s="628"/>
      <c r="K6" s="628"/>
      <c r="L6" s="628"/>
      <c r="M6" s="628"/>
      <c r="N6" s="628"/>
      <c r="O6" s="628"/>
      <c r="P6" s="628"/>
      <c r="Q6" s="628"/>
      <c r="R6" s="628"/>
      <c r="S6" s="628"/>
      <c r="T6" s="628"/>
      <c r="U6" s="628"/>
      <c r="V6" s="628"/>
      <c r="W6" s="628"/>
    </row>
    <row r="7" spans="1:23" customFormat="1" ht="12.5"/>
    <row r="8" spans="1:23" customFormat="1" ht="12.5"/>
    <row r="9" spans="1:23" ht="33" customHeight="1">
      <c r="A9" s="627" t="s">
        <v>2</v>
      </c>
      <c r="B9" s="627"/>
      <c r="C9" s="627"/>
      <c r="D9" s="627"/>
      <c r="E9" s="627"/>
      <c r="F9" s="627"/>
      <c r="G9" s="627"/>
      <c r="H9" s="627"/>
      <c r="I9" s="627"/>
      <c r="J9" s="627"/>
      <c r="K9" s="627"/>
      <c r="L9" s="627"/>
      <c r="M9" s="627"/>
      <c r="N9" s="627"/>
      <c r="O9" s="627"/>
      <c r="P9" s="627"/>
      <c r="Q9" s="627"/>
      <c r="R9" s="627"/>
      <c r="S9" s="627"/>
      <c r="T9" s="627"/>
      <c r="U9" s="627"/>
      <c r="V9" s="627"/>
      <c r="W9" s="627"/>
    </row>
    <row r="10" spans="1:23" ht="24" customHeight="1">
      <c r="A10" s="331"/>
      <c r="B10" s="331"/>
      <c r="C10" s="331"/>
      <c r="D10" s="331"/>
      <c r="E10" s="331"/>
      <c r="F10" s="331"/>
      <c r="G10" s="331"/>
      <c r="H10" s="331"/>
      <c r="I10" s="331"/>
      <c r="J10" s="331"/>
      <c r="K10" s="331"/>
      <c r="L10" s="331"/>
      <c r="M10" s="331"/>
      <c r="N10" s="331"/>
      <c r="O10" s="331"/>
      <c r="P10" s="331"/>
      <c r="Q10" s="331"/>
      <c r="R10" s="331"/>
      <c r="S10" s="331"/>
      <c r="T10" s="331"/>
      <c r="U10" s="331"/>
      <c r="V10" s="331"/>
    </row>
    <row r="11" spans="1:23" customFormat="1" ht="13">
      <c r="A11" s="332" t="s">
        <v>3</v>
      </c>
      <c r="B11" s="629">
        <v>44471</v>
      </c>
      <c r="C11" s="629"/>
    </row>
    <row r="29" spans="1:23" ht="18">
      <c r="A29" s="624" t="s">
        <v>4</v>
      </c>
      <c r="B29" s="624"/>
      <c r="C29" s="624"/>
      <c r="D29" s="624"/>
      <c r="E29" s="624"/>
      <c r="F29" s="624"/>
      <c r="G29" s="624"/>
      <c r="H29" s="624"/>
      <c r="I29" s="624"/>
      <c r="J29" s="624"/>
      <c r="K29" s="624"/>
      <c r="L29" s="624"/>
      <c r="M29" s="624"/>
      <c r="N29" s="624"/>
      <c r="O29" s="624"/>
      <c r="P29" s="624"/>
      <c r="Q29" s="624"/>
      <c r="R29" s="624"/>
      <c r="S29" s="624"/>
      <c r="T29" s="624"/>
      <c r="U29" s="624"/>
      <c r="V29" s="624"/>
      <c r="W29" s="624"/>
    </row>
    <row r="30" spans="1:23" ht="18">
      <c r="A30" s="624" t="s">
        <v>5</v>
      </c>
      <c r="B30" s="624"/>
      <c r="C30" s="624"/>
      <c r="D30" s="624"/>
      <c r="E30" s="624"/>
      <c r="F30" s="624"/>
      <c r="G30" s="624"/>
      <c r="H30" s="624"/>
      <c r="I30" s="624"/>
      <c r="J30" s="624"/>
      <c r="K30" s="624"/>
      <c r="L30" s="624"/>
      <c r="M30" s="624"/>
      <c r="N30" s="624"/>
      <c r="O30" s="624"/>
      <c r="P30" s="624"/>
      <c r="Q30" s="624"/>
      <c r="R30" s="624"/>
      <c r="S30" s="624"/>
      <c r="T30" s="624"/>
      <c r="U30" s="624"/>
      <c r="V30" s="624"/>
      <c r="W30" s="624"/>
    </row>
    <row r="31" spans="1:23" ht="15.5">
      <c r="A31" s="509"/>
      <c r="B31" s="509"/>
      <c r="C31" s="509"/>
      <c r="D31" s="509"/>
      <c r="E31" s="509"/>
      <c r="F31" s="509"/>
      <c r="G31" s="509"/>
      <c r="H31" s="509"/>
      <c r="I31" s="509"/>
      <c r="J31" s="509"/>
      <c r="K31" s="509"/>
      <c r="L31" s="509"/>
      <c r="M31" s="509"/>
      <c r="N31" s="509"/>
      <c r="O31" s="509"/>
      <c r="P31" s="509"/>
      <c r="Q31" s="509"/>
      <c r="R31" s="509"/>
      <c r="S31" s="509"/>
      <c r="T31" s="509"/>
      <c r="U31" s="509"/>
    </row>
    <row r="32" spans="1:23" ht="18">
      <c r="A32" s="624" t="s">
        <v>6</v>
      </c>
      <c r="B32" s="624"/>
      <c r="C32" s="624"/>
      <c r="D32" s="624"/>
      <c r="E32" s="624"/>
      <c r="F32" s="624"/>
      <c r="G32" s="624"/>
      <c r="H32" s="624"/>
      <c r="I32" s="624"/>
      <c r="J32" s="624"/>
      <c r="K32" s="624"/>
      <c r="L32" s="624"/>
      <c r="M32" s="624"/>
      <c r="N32" s="624"/>
      <c r="O32" s="624"/>
      <c r="P32" s="624"/>
      <c r="Q32" s="624"/>
      <c r="R32" s="624"/>
      <c r="S32" s="624"/>
      <c r="T32" s="624"/>
      <c r="U32" s="624"/>
      <c r="V32" s="624"/>
      <c r="W32" s="624"/>
    </row>
    <row r="33" spans="1:23" ht="18">
      <c r="A33" s="624" t="s">
        <v>7</v>
      </c>
      <c r="B33" s="624"/>
      <c r="C33" s="624"/>
      <c r="D33" s="624"/>
      <c r="E33" s="624"/>
      <c r="F33" s="624"/>
      <c r="G33" s="624"/>
      <c r="H33" s="624"/>
      <c r="I33" s="624"/>
      <c r="J33" s="624"/>
      <c r="K33" s="624"/>
      <c r="L33" s="624"/>
      <c r="M33" s="624"/>
      <c r="N33" s="624"/>
      <c r="O33" s="624"/>
      <c r="P33" s="624"/>
      <c r="Q33" s="624"/>
      <c r="R33" s="624"/>
      <c r="S33" s="624"/>
      <c r="T33" s="624"/>
      <c r="U33" s="624"/>
      <c r="V33" s="624"/>
      <c r="W33" s="624"/>
    </row>
    <row r="34" spans="1:23" ht="15.5">
      <c r="A34" s="509"/>
      <c r="B34" s="509"/>
      <c r="C34" s="509"/>
      <c r="D34" s="509"/>
      <c r="E34" s="509"/>
      <c r="F34" s="509"/>
      <c r="G34" s="509"/>
      <c r="H34" s="509"/>
      <c r="I34" s="509"/>
      <c r="J34" s="509"/>
      <c r="K34" s="509"/>
      <c r="L34" s="509"/>
      <c r="M34" s="509"/>
      <c r="N34" s="509"/>
      <c r="O34" s="509"/>
      <c r="P34" s="509"/>
      <c r="Q34" s="509"/>
      <c r="R34" s="509"/>
      <c r="S34" s="509"/>
      <c r="T34" s="509"/>
      <c r="U34" s="509"/>
    </row>
    <row r="35" spans="1:23" ht="18">
      <c r="A35" s="624" t="s">
        <v>8</v>
      </c>
      <c r="B35" s="624"/>
      <c r="C35" s="624"/>
      <c r="D35" s="624"/>
      <c r="E35" s="624"/>
      <c r="F35" s="624"/>
      <c r="G35" s="624"/>
      <c r="H35" s="624"/>
      <c r="I35" s="624"/>
      <c r="J35" s="624"/>
      <c r="K35" s="624"/>
      <c r="L35" s="624"/>
      <c r="M35" s="624"/>
      <c r="N35" s="624"/>
      <c r="O35" s="624"/>
      <c r="P35" s="624"/>
      <c r="Q35" s="624"/>
      <c r="R35" s="624"/>
      <c r="S35" s="624"/>
      <c r="T35" s="624"/>
      <c r="U35" s="624"/>
      <c r="V35" s="624"/>
      <c r="W35" s="624"/>
    </row>
    <row r="36" spans="1:23" ht="18">
      <c r="A36" s="624" t="s">
        <v>9</v>
      </c>
      <c r="B36" s="624"/>
      <c r="C36" s="624"/>
      <c r="D36" s="624"/>
      <c r="E36" s="624"/>
      <c r="F36" s="624"/>
      <c r="G36" s="624"/>
      <c r="H36" s="624"/>
      <c r="I36" s="624"/>
      <c r="J36" s="624"/>
      <c r="K36" s="624"/>
      <c r="L36" s="624"/>
      <c r="M36" s="624"/>
      <c r="N36" s="624"/>
      <c r="O36" s="624"/>
      <c r="P36" s="624"/>
      <c r="Q36" s="624"/>
      <c r="R36" s="624"/>
      <c r="S36" s="624"/>
      <c r="T36" s="624"/>
      <c r="U36" s="624"/>
      <c r="V36" s="624"/>
      <c r="W36" s="624"/>
    </row>
    <row r="37" spans="1:23" ht="18">
      <c r="A37" s="508"/>
      <c r="B37" s="508"/>
      <c r="C37" s="508"/>
      <c r="D37" s="508"/>
      <c r="E37" s="508"/>
      <c r="F37" s="508"/>
      <c r="G37" s="508"/>
      <c r="H37" s="508"/>
      <c r="I37" s="508"/>
      <c r="J37" s="508"/>
      <c r="K37" s="508"/>
      <c r="L37" s="508"/>
      <c r="M37" s="508"/>
      <c r="N37" s="508"/>
      <c r="O37" s="508"/>
      <c r="P37" s="508"/>
      <c r="Q37" s="508"/>
      <c r="R37" s="508"/>
      <c r="S37" s="508"/>
      <c r="T37" s="508"/>
      <c r="U37" s="508"/>
      <c r="V37" s="508"/>
      <c r="W37" s="508"/>
    </row>
    <row r="38" spans="1:23" ht="15.5">
      <c r="A38" s="509"/>
      <c r="B38" s="509"/>
      <c r="C38" s="509"/>
      <c r="D38" s="509"/>
      <c r="E38" s="509"/>
      <c r="F38" s="509"/>
      <c r="G38" s="509"/>
      <c r="H38" s="509"/>
      <c r="I38" s="509"/>
      <c r="J38" s="509"/>
      <c r="K38" s="509"/>
      <c r="L38" s="509"/>
      <c r="M38" s="509"/>
      <c r="N38" s="509"/>
      <c r="O38" s="509"/>
      <c r="P38" s="509"/>
      <c r="Q38" s="509"/>
      <c r="R38" s="509"/>
      <c r="S38" s="509"/>
      <c r="T38" s="509"/>
      <c r="U38" s="509"/>
    </row>
    <row r="39" spans="1:23" ht="15.5">
      <c r="A39" s="625" t="s">
        <v>10</v>
      </c>
      <c r="B39" s="625"/>
      <c r="C39" s="625"/>
      <c r="D39" s="625"/>
      <c r="E39" s="625"/>
      <c r="F39" s="625"/>
      <c r="G39" s="625"/>
      <c r="H39" s="625"/>
      <c r="I39" s="625"/>
      <c r="J39" s="625"/>
      <c r="K39" s="625"/>
      <c r="L39" s="625"/>
      <c r="M39" s="625"/>
      <c r="N39" s="625"/>
      <c r="O39" s="625"/>
      <c r="P39" s="625"/>
      <c r="Q39" s="625"/>
      <c r="R39" s="625"/>
      <c r="S39" s="625"/>
      <c r="T39" s="625"/>
      <c r="U39" s="625"/>
      <c r="V39" s="625"/>
      <c r="W39" s="625"/>
    </row>
    <row r="40" spans="1:23" ht="15.5">
      <c r="A40" s="625" t="s">
        <v>11</v>
      </c>
      <c r="B40" s="625"/>
      <c r="C40" s="625"/>
      <c r="D40" s="625"/>
      <c r="E40" s="625"/>
      <c r="F40" s="625"/>
      <c r="G40" s="625"/>
      <c r="H40" s="625"/>
      <c r="I40" s="625"/>
      <c r="J40" s="625"/>
      <c r="K40" s="625"/>
      <c r="L40" s="625"/>
      <c r="M40" s="625"/>
      <c r="N40" s="625"/>
      <c r="O40" s="625"/>
      <c r="P40" s="625"/>
      <c r="Q40" s="625"/>
      <c r="R40" s="625"/>
      <c r="S40" s="625"/>
      <c r="T40" s="625"/>
      <c r="U40" s="625"/>
      <c r="V40" s="625"/>
      <c r="W40" s="625"/>
    </row>
    <row r="41" spans="1:23" ht="15.5">
      <c r="A41" s="625" t="s">
        <v>12</v>
      </c>
      <c r="B41" s="625"/>
      <c r="C41" s="625"/>
      <c r="D41" s="625"/>
      <c r="E41" s="625"/>
      <c r="F41" s="625"/>
      <c r="G41" s="625"/>
      <c r="H41" s="625"/>
      <c r="I41" s="625"/>
      <c r="J41" s="625"/>
      <c r="K41" s="625"/>
      <c r="L41" s="625"/>
      <c r="M41" s="625"/>
      <c r="N41" s="625"/>
      <c r="O41" s="625"/>
      <c r="P41" s="625"/>
      <c r="Q41" s="625"/>
      <c r="R41" s="625"/>
      <c r="S41" s="625"/>
      <c r="T41" s="625"/>
      <c r="U41" s="625"/>
      <c r="V41" s="625"/>
      <c r="W41" s="625"/>
    </row>
    <row r="42" spans="1:23" ht="15.5">
      <c r="A42" s="622" t="s">
        <v>13</v>
      </c>
      <c r="B42" s="622"/>
      <c r="C42" s="622"/>
      <c r="D42" s="622"/>
      <c r="E42" s="622"/>
      <c r="F42" s="622"/>
      <c r="G42" s="622"/>
      <c r="H42" s="622"/>
      <c r="I42" s="622"/>
      <c r="J42" s="622"/>
      <c r="K42" s="622"/>
      <c r="L42" s="622"/>
      <c r="M42" s="622"/>
      <c r="N42" s="622"/>
      <c r="O42" s="622"/>
      <c r="P42" s="622"/>
      <c r="Q42" s="622"/>
      <c r="R42" s="622"/>
      <c r="S42" s="622"/>
      <c r="T42" s="622"/>
      <c r="U42" s="622"/>
      <c r="V42" s="622"/>
      <c r="W42" s="622"/>
    </row>
    <row r="43" spans="1:23" ht="12.5">
      <c r="A43" s="623" t="s">
        <v>14</v>
      </c>
      <c r="B43" s="623"/>
      <c r="C43" s="623"/>
      <c r="D43" s="623"/>
      <c r="E43" s="623"/>
      <c r="F43" s="623"/>
      <c r="G43" s="623"/>
      <c r="H43" s="623"/>
      <c r="I43" s="623"/>
      <c r="J43" s="623"/>
      <c r="K43" s="623"/>
      <c r="L43" s="623"/>
      <c r="M43" s="623"/>
      <c r="N43" s="623"/>
      <c r="O43" s="623"/>
      <c r="P43" s="623"/>
      <c r="Q43" s="623"/>
      <c r="R43" s="623"/>
      <c r="S43" s="623"/>
      <c r="T43" s="623"/>
      <c r="U43" s="623"/>
      <c r="V43" s="623"/>
      <c r="W43" s="623"/>
    </row>
  </sheetData>
  <sheetProtection algorithmName="SHA-512" hashValue="7rK8r6miMlfBi46O0uTNXh3pyVnb5jx1bo53bClOi1ujZ39jNdJfYNyjEObpB+pfNMCa53lA8yo/WcFSDgeOig==" saltValue="RrTbcis70xSBdR45yMNUoQ==" spinCount="100000" sheet="1" objects="1" scenarios="1"/>
  <mergeCells count="15">
    <mergeCell ref="A5:W5"/>
    <mergeCell ref="A29:W29"/>
    <mergeCell ref="A30:W30"/>
    <mergeCell ref="A32:W32"/>
    <mergeCell ref="A9:W9"/>
    <mergeCell ref="A6:W6"/>
    <mergeCell ref="B11:C11"/>
    <mergeCell ref="A42:W42"/>
    <mergeCell ref="A43:W43"/>
    <mergeCell ref="A33:W33"/>
    <mergeCell ref="A35:W35"/>
    <mergeCell ref="A36:W36"/>
    <mergeCell ref="A39:W39"/>
    <mergeCell ref="A40:W40"/>
    <mergeCell ref="A41:W41"/>
  </mergeCells>
  <hyperlinks>
    <hyperlink ref="A43" r:id="rId1" display="Website: http://www.hcd.ca.gov/grants-funding/active-funding/nplh.shtml" xr:uid="{00000000-0004-0000-0100-000000000000}"/>
    <hyperlink ref="A43:W43" r:id="rId2" display="Website: https://homekey.hcd.ca.gov/" xr:uid="{00000000-0004-0000-0100-000001000000}"/>
  </hyperlinks>
  <printOptions horizontalCentered="1"/>
  <pageMargins left="0.25" right="0.25" top="0.5" bottom="0.3" header="0" footer="0"/>
  <pageSetup orientation="portrait" r:id="rId3"/>
  <headerFooter scaleWithDoc="0" alignWithMargins="0">
    <oddHeader xml:space="preserve">&amp;LAttachment D - Homekey Round 2 Sample Application
</oddHeader>
    <oddFooter>&amp;L&amp;9Homekey Round 2&amp;C&amp;9Page &amp;P of &amp;N&amp;R&amp;"Arial,Italic"&amp;9&amp;A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70C67-7088-4953-BFE2-2E39C3473042}">
  <sheetPr codeName="Sheet28"/>
  <dimension ref="A1:AF1045"/>
  <sheetViews>
    <sheetView showGridLines="0" workbookViewId="0"/>
  </sheetViews>
  <sheetFormatPr defaultColWidth="9.1796875" defaultRowHeight="12.5"/>
  <cols>
    <col min="1" max="1" width="24.7265625" style="76" customWidth="1"/>
    <col min="2" max="15" width="9.1796875" style="77"/>
    <col min="16" max="16384" width="9.1796875" style="75"/>
  </cols>
  <sheetData>
    <row r="1" spans="1:32">
      <c r="A1" s="76" t="s">
        <v>727</v>
      </c>
      <c r="B1" s="77" t="s">
        <v>728</v>
      </c>
      <c r="C1" s="77" t="s">
        <v>729</v>
      </c>
      <c r="D1" s="77" t="s">
        <v>730</v>
      </c>
      <c r="E1" s="77" t="s">
        <v>731</v>
      </c>
      <c r="F1" s="77" t="s">
        <v>732</v>
      </c>
      <c r="G1" s="77" t="s">
        <v>733</v>
      </c>
      <c r="H1" s="77" t="s">
        <v>734</v>
      </c>
      <c r="I1" s="77" t="s">
        <v>735</v>
      </c>
      <c r="J1" s="78">
        <v>0</v>
      </c>
      <c r="K1" s="78">
        <v>1</v>
      </c>
      <c r="L1" s="78">
        <v>2</v>
      </c>
      <c r="M1" s="78">
        <v>3</v>
      </c>
      <c r="N1" s="78">
        <v>4</v>
      </c>
      <c r="O1" s="78">
        <v>5</v>
      </c>
    </row>
    <row r="2" spans="1:32">
      <c r="A2" s="76" t="s">
        <v>736</v>
      </c>
      <c r="B2" s="79">
        <f>B9*2*0.15</f>
        <v>14385</v>
      </c>
      <c r="C2" s="79">
        <f>C9*2*0.15</f>
        <v>16440</v>
      </c>
      <c r="D2" s="79">
        <f>D9*2*0.15</f>
        <v>18495</v>
      </c>
      <c r="E2" s="79">
        <f>E9*2*0.15</f>
        <v>20550</v>
      </c>
      <c r="F2" s="79">
        <f>F9*2*0.15</f>
        <v>22200</v>
      </c>
      <c r="G2" s="79">
        <f t="shared" ref="G2:I2" si="0">G9*2*0.15</f>
        <v>23850</v>
      </c>
      <c r="H2" s="79">
        <f t="shared" si="0"/>
        <v>25485</v>
      </c>
      <c r="I2" s="79">
        <f t="shared" si="0"/>
        <v>27135</v>
      </c>
      <c r="J2" s="80">
        <f t="shared" ref="J2:J8" si="1">TRUNC(B2/12*0.3)</f>
        <v>359</v>
      </c>
      <c r="K2" s="80">
        <f t="shared" ref="K2:K8" si="2">TRUNC((B2+C2)/2/12*0.3)</f>
        <v>385</v>
      </c>
      <c r="L2" s="80">
        <f t="shared" ref="L2:L8" si="3">TRUNC((D2)/12*0.3)</f>
        <v>462</v>
      </c>
      <c r="M2" s="80">
        <f t="shared" ref="M2:M8" si="4">TRUNC(((E2+F2)/2)/12*0.3)</f>
        <v>534</v>
      </c>
      <c r="N2" s="80">
        <f t="shared" ref="N2:N8" si="5">TRUNC(G2/12*0.3)</f>
        <v>596</v>
      </c>
      <c r="O2" s="80">
        <f t="shared" ref="O2:O8" si="6">TRUNC(((H2+I2)/2)/12*0.3)</f>
        <v>657</v>
      </c>
      <c r="P2" s="81"/>
      <c r="Q2" s="81"/>
      <c r="R2" s="81"/>
      <c r="S2" s="81"/>
      <c r="T2" s="81"/>
      <c r="U2" s="81"/>
      <c r="V2" s="81"/>
      <c r="W2" s="81"/>
      <c r="X2" s="81"/>
      <c r="Y2" s="81"/>
      <c r="Z2" s="81"/>
      <c r="AA2" s="81"/>
      <c r="AB2" s="81"/>
      <c r="AC2" s="81"/>
      <c r="AD2" s="81"/>
      <c r="AE2" s="81"/>
      <c r="AF2" s="81"/>
    </row>
    <row r="3" spans="1:32">
      <c r="A3" s="76" t="s">
        <v>737</v>
      </c>
      <c r="B3" s="79">
        <f>B9*2*0.2</f>
        <v>19180</v>
      </c>
      <c r="C3" s="79">
        <f t="shared" ref="C3:I3" si="7">C9*2*0.2</f>
        <v>21920</v>
      </c>
      <c r="D3" s="79">
        <f t="shared" si="7"/>
        <v>24660</v>
      </c>
      <c r="E3" s="79">
        <f t="shared" si="7"/>
        <v>27400</v>
      </c>
      <c r="F3" s="79">
        <f t="shared" si="7"/>
        <v>29600</v>
      </c>
      <c r="G3" s="79">
        <f t="shared" si="7"/>
        <v>31800</v>
      </c>
      <c r="H3" s="79">
        <f t="shared" si="7"/>
        <v>33980</v>
      </c>
      <c r="I3" s="79">
        <f t="shared" si="7"/>
        <v>36180</v>
      </c>
      <c r="J3" s="80">
        <f t="shared" si="1"/>
        <v>479</v>
      </c>
      <c r="K3" s="80">
        <f t="shared" si="2"/>
        <v>513</v>
      </c>
      <c r="L3" s="80">
        <f t="shared" si="3"/>
        <v>616</v>
      </c>
      <c r="M3" s="80">
        <f t="shared" si="4"/>
        <v>712</v>
      </c>
      <c r="N3" s="80">
        <f t="shared" si="5"/>
        <v>795</v>
      </c>
      <c r="O3" s="80">
        <f t="shared" si="6"/>
        <v>877</v>
      </c>
      <c r="P3" s="81"/>
      <c r="Q3" s="81"/>
      <c r="R3" s="81"/>
      <c r="S3" s="81"/>
      <c r="T3" s="81"/>
      <c r="U3" s="81"/>
      <c r="V3" s="81"/>
      <c r="W3" s="81"/>
      <c r="X3" s="81"/>
      <c r="Y3" s="81"/>
      <c r="Z3" s="81"/>
      <c r="AA3" s="81"/>
      <c r="AB3" s="81"/>
      <c r="AC3" s="81"/>
      <c r="AD3" s="81"/>
      <c r="AE3" s="81"/>
      <c r="AF3" s="81"/>
    </row>
    <row r="4" spans="1:32">
      <c r="A4" s="76" t="s">
        <v>738</v>
      </c>
      <c r="B4" s="79">
        <f>B9*2*0.25</f>
        <v>23975</v>
      </c>
      <c r="C4" s="79">
        <f t="shared" ref="C4:I4" si="8">C9*2*0.25</f>
        <v>27400</v>
      </c>
      <c r="D4" s="79">
        <f t="shared" si="8"/>
        <v>30825</v>
      </c>
      <c r="E4" s="79">
        <f t="shared" si="8"/>
        <v>34250</v>
      </c>
      <c r="F4" s="79">
        <f t="shared" si="8"/>
        <v>37000</v>
      </c>
      <c r="G4" s="79">
        <f t="shared" si="8"/>
        <v>39750</v>
      </c>
      <c r="H4" s="79">
        <f t="shared" si="8"/>
        <v>42475</v>
      </c>
      <c r="I4" s="79">
        <f t="shared" si="8"/>
        <v>45225</v>
      </c>
      <c r="J4" s="80">
        <f t="shared" si="1"/>
        <v>599</v>
      </c>
      <c r="K4" s="80">
        <f t="shared" si="2"/>
        <v>642</v>
      </c>
      <c r="L4" s="80">
        <f t="shared" si="3"/>
        <v>770</v>
      </c>
      <c r="M4" s="80">
        <f t="shared" si="4"/>
        <v>890</v>
      </c>
      <c r="N4" s="80">
        <f t="shared" si="5"/>
        <v>993</v>
      </c>
      <c r="O4" s="80">
        <f t="shared" si="6"/>
        <v>1096</v>
      </c>
      <c r="P4" s="81"/>
      <c r="Q4" s="81"/>
      <c r="R4" s="81"/>
      <c r="S4" s="81"/>
      <c r="T4" s="81"/>
      <c r="U4" s="81"/>
      <c r="V4" s="81"/>
      <c r="W4" s="81"/>
      <c r="X4" s="81"/>
      <c r="Y4" s="81"/>
      <c r="Z4" s="81"/>
      <c r="AA4" s="81"/>
      <c r="AB4" s="81"/>
      <c r="AC4" s="81"/>
      <c r="AD4" s="81"/>
      <c r="AE4" s="81"/>
      <c r="AF4" s="81"/>
    </row>
    <row r="5" spans="1:32">
      <c r="A5" s="76" t="s">
        <v>739</v>
      </c>
      <c r="B5" s="79">
        <f>B9*2*0.3</f>
        <v>28770</v>
      </c>
      <c r="C5" s="79">
        <f t="shared" ref="C5:I5" si="9">C9*2*0.3</f>
        <v>32880</v>
      </c>
      <c r="D5" s="79">
        <f t="shared" si="9"/>
        <v>36990</v>
      </c>
      <c r="E5" s="79">
        <f t="shared" si="9"/>
        <v>41100</v>
      </c>
      <c r="F5" s="79">
        <f t="shared" si="9"/>
        <v>44400</v>
      </c>
      <c r="G5" s="79">
        <f t="shared" si="9"/>
        <v>47700</v>
      </c>
      <c r="H5" s="79">
        <f t="shared" si="9"/>
        <v>50970</v>
      </c>
      <c r="I5" s="79">
        <f t="shared" si="9"/>
        <v>54270</v>
      </c>
      <c r="J5" s="80">
        <f t="shared" si="1"/>
        <v>719</v>
      </c>
      <c r="K5" s="80">
        <f t="shared" si="2"/>
        <v>770</v>
      </c>
      <c r="L5" s="80">
        <f t="shared" si="3"/>
        <v>924</v>
      </c>
      <c r="M5" s="80">
        <f t="shared" si="4"/>
        <v>1068</v>
      </c>
      <c r="N5" s="80">
        <f t="shared" si="5"/>
        <v>1192</v>
      </c>
      <c r="O5" s="80">
        <f t="shared" si="6"/>
        <v>1315</v>
      </c>
      <c r="P5" s="81"/>
      <c r="Q5" s="81"/>
      <c r="R5" s="81"/>
      <c r="S5" s="81"/>
      <c r="T5" s="81"/>
      <c r="U5" s="81"/>
      <c r="V5" s="81"/>
      <c r="W5" s="81"/>
      <c r="X5" s="81"/>
      <c r="Y5" s="81"/>
      <c r="Z5" s="81"/>
      <c r="AA5" s="81"/>
      <c r="AB5" s="81"/>
      <c r="AC5" s="81"/>
      <c r="AD5" s="81"/>
      <c r="AE5" s="81"/>
      <c r="AF5" s="81"/>
    </row>
    <row r="6" spans="1:32">
      <c r="A6" s="76" t="s">
        <v>740</v>
      </c>
      <c r="B6" s="79">
        <f>B9*2*0.35</f>
        <v>33565</v>
      </c>
      <c r="C6" s="79">
        <f t="shared" ref="C6:I6" si="10">C9*2*0.35</f>
        <v>38360</v>
      </c>
      <c r="D6" s="79">
        <f t="shared" si="10"/>
        <v>43155</v>
      </c>
      <c r="E6" s="79">
        <f t="shared" si="10"/>
        <v>47950</v>
      </c>
      <c r="F6" s="79">
        <f t="shared" si="10"/>
        <v>51800</v>
      </c>
      <c r="G6" s="79">
        <f t="shared" si="10"/>
        <v>55650</v>
      </c>
      <c r="H6" s="79">
        <f t="shared" si="10"/>
        <v>59464.999999999993</v>
      </c>
      <c r="I6" s="79">
        <f t="shared" si="10"/>
        <v>63314.999999999993</v>
      </c>
      <c r="J6" s="80">
        <f t="shared" si="1"/>
        <v>839</v>
      </c>
      <c r="K6" s="80">
        <f t="shared" si="2"/>
        <v>899</v>
      </c>
      <c r="L6" s="80">
        <f t="shared" si="3"/>
        <v>1078</v>
      </c>
      <c r="M6" s="80">
        <f t="shared" si="4"/>
        <v>1246</v>
      </c>
      <c r="N6" s="80">
        <f t="shared" si="5"/>
        <v>1391</v>
      </c>
      <c r="O6" s="80">
        <f t="shared" si="6"/>
        <v>1534</v>
      </c>
      <c r="P6" s="81"/>
      <c r="Q6" s="81"/>
      <c r="R6" s="81"/>
      <c r="S6" s="81"/>
      <c r="T6" s="81"/>
      <c r="U6" s="81"/>
      <c r="V6" s="81"/>
      <c r="W6" s="81"/>
      <c r="X6" s="81"/>
      <c r="Y6" s="81"/>
      <c r="Z6" s="81"/>
      <c r="AA6" s="81"/>
      <c r="AB6" s="81"/>
      <c r="AC6" s="81"/>
      <c r="AD6" s="81"/>
      <c r="AE6" s="81"/>
      <c r="AF6" s="81"/>
    </row>
    <row r="7" spans="1:32">
      <c r="A7" s="76" t="s">
        <v>741</v>
      </c>
      <c r="B7" s="79">
        <f>B9*2*0.4</f>
        <v>38360</v>
      </c>
      <c r="C7" s="79">
        <f t="shared" ref="C7:I7" si="11">C9*2*0.4</f>
        <v>43840</v>
      </c>
      <c r="D7" s="79">
        <f t="shared" si="11"/>
        <v>49320</v>
      </c>
      <c r="E7" s="79">
        <f t="shared" si="11"/>
        <v>54800</v>
      </c>
      <c r="F7" s="79">
        <f t="shared" si="11"/>
        <v>59200</v>
      </c>
      <c r="G7" s="79">
        <f t="shared" si="11"/>
        <v>63600</v>
      </c>
      <c r="H7" s="79">
        <f t="shared" si="11"/>
        <v>67960</v>
      </c>
      <c r="I7" s="79">
        <f t="shared" si="11"/>
        <v>72360</v>
      </c>
      <c r="J7" s="80">
        <f t="shared" si="1"/>
        <v>959</v>
      </c>
      <c r="K7" s="80">
        <f t="shared" si="2"/>
        <v>1027</v>
      </c>
      <c r="L7" s="80">
        <f t="shared" si="3"/>
        <v>1233</v>
      </c>
      <c r="M7" s="80">
        <f t="shared" si="4"/>
        <v>1425</v>
      </c>
      <c r="N7" s="80">
        <f t="shared" si="5"/>
        <v>1590</v>
      </c>
      <c r="O7" s="80">
        <f t="shared" si="6"/>
        <v>1754</v>
      </c>
      <c r="P7" s="81"/>
      <c r="Q7" s="81"/>
      <c r="R7" s="81"/>
      <c r="S7" s="81"/>
      <c r="T7" s="81"/>
      <c r="U7" s="81"/>
      <c r="V7" s="81"/>
      <c r="W7" s="81"/>
      <c r="X7" s="81"/>
      <c r="Y7" s="81"/>
      <c r="Z7" s="81"/>
      <c r="AA7" s="81"/>
      <c r="AB7" s="81"/>
      <c r="AC7" s="81"/>
      <c r="AD7" s="81"/>
      <c r="AE7" s="81"/>
      <c r="AF7" s="81"/>
    </row>
    <row r="8" spans="1:32">
      <c r="A8" s="76" t="s">
        <v>742</v>
      </c>
      <c r="B8" s="79">
        <f>B9*2*0.45</f>
        <v>43155</v>
      </c>
      <c r="C8" s="79">
        <f t="shared" ref="C8:I8" si="12">C9*2*0.45</f>
        <v>49320</v>
      </c>
      <c r="D8" s="79">
        <f t="shared" si="12"/>
        <v>55485</v>
      </c>
      <c r="E8" s="79">
        <f t="shared" si="12"/>
        <v>61650</v>
      </c>
      <c r="F8" s="79">
        <f t="shared" si="12"/>
        <v>66600</v>
      </c>
      <c r="G8" s="79">
        <f t="shared" si="12"/>
        <v>71550</v>
      </c>
      <c r="H8" s="79">
        <f t="shared" si="12"/>
        <v>76455</v>
      </c>
      <c r="I8" s="79">
        <f t="shared" si="12"/>
        <v>81405</v>
      </c>
      <c r="J8" s="80">
        <f t="shared" si="1"/>
        <v>1078</v>
      </c>
      <c r="K8" s="80">
        <f t="shared" si="2"/>
        <v>1155</v>
      </c>
      <c r="L8" s="80">
        <f t="shared" si="3"/>
        <v>1387</v>
      </c>
      <c r="M8" s="80">
        <f t="shared" si="4"/>
        <v>1603</v>
      </c>
      <c r="N8" s="80">
        <f t="shared" si="5"/>
        <v>1788</v>
      </c>
      <c r="O8" s="80">
        <f t="shared" si="6"/>
        <v>1973</v>
      </c>
      <c r="P8" s="81"/>
      <c r="Q8" s="81"/>
      <c r="R8" s="81"/>
      <c r="S8" s="81"/>
      <c r="T8" s="81"/>
      <c r="U8" s="81"/>
      <c r="V8" s="81"/>
      <c r="W8" s="81"/>
      <c r="X8" s="81"/>
      <c r="Y8" s="81"/>
      <c r="Z8" s="81"/>
      <c r="AA8" s="81"/>
      <c r="AB8" s="81"/>
      <c r="AC8" s="81"/>
      <c r="AD8" s="81"/>
      <c r="AE8" s="81"/>
      <c r="AF8" s="81"/>
    </row>
    <row r="9" spans="1:32">
      <c r="A9" s="82" t="s">
        <v>743</v>
      </c>
      <c r="B9" s="83">
        <f>'MTSP 50% Income Limits '!B2</f>
        <v>47950</v>
      </c>
      <c r="C9" s="83">
        <f>'MTSP 50% Income Limits '!C2</f>
        <v>54800</v>
      </c>
      <c r="D9" s="83">
        <f>'MTSP 50% Income Limits '!D2</f>
        <v>61650</v>
      </c>
      <c r="E9" s="83">
        <f>'MTSP 50% Income Limits '!E2</f>
        <v>68500</v>
      </c>
      <c r="F9" s="83">
        <f>'MTSP 50% Income Limits '!F2</f>
        <v>74000</v>
      </c>
      <c r="G9" s="83">
        <f>'MTSP 50% Income Limits '!G2</f>
        <v>79500</v>
      </c>
      <c r="H9" s="83">
        <f>'MTSP 50% Income Limits '!H2</f>
        <v>84950</v>
      </c>
      <c r="I9" s="83">
        <f>'MTSP 50% Income Limits '!I2</f>
        <v>90450</v>
      </c>
      <c r="J9" s="83">
        <f>TRUNC(B9/12*0.3)</f>
        <v>1198</v>
      </c>
      <c r="K9" s="83">
        <f>TRUNC((B9+C9)/2/12*0.3)</f>
        <v>1284</v>
      </c>
      <c r="L9" s="83">
        <f>TRUNC((D9)/12*0.3)</f>
        <v>1541</v>
      </c>
      <c r="M9" s="83">
        <f>TRUNC(((E9+F9)/2)/12*0.3)</f>
        <v>1781</v>
      </c>
      <c r="N9" s="83">
        <f>TRUNC(G9/12*0.3)</f>
        <v>1987</v>
      </c>
      <c r="O9" s="83">
        <f>TRUNC(((H9+I9)/2)/12*0.3)</f>
        <v>2192</v>
      </c>
      <c r="P9" s="81"/>
      <c r="Q9" s="81"/>
      <c r="R9" s="81"/>
      <c r="S9" s="81"/>
      <c r="T9" s="81"/>
      <c r="U9" s="81"/>
      <c r="V9" s="81"/>
      <c r="W9" s="81"/>
      <c r="X9" s="81"/>
      <c r="Y9" s="81"/>
      <c r="Z9" s="81"/>
      <c r="AA9" s="81"/>
      <c r="AB9" s="81"/>
      <c r="AC9" s="81"/>
      <c r="AD9" s="81"/>
      <c r="AE9" s="81"/>
      <c r="AF9" s="81"/>
    </row>
    <row r="10" spans="1:32">
      <c r="A10" s="76" t="s">
        <v>744</v>
      </c>
      <c r="B10" s="79">
        <f>B9*2*0.55</f>
        <v>52745.000000000007</v>
      </c>
      <c r="C10" s="79">
        <f t="shared" ref="C10:I10" si="13">C9*2*0.55</f>
        <v>60280.000000000007</v>
      </c>
      <c r="D10" s="79">
        <f t="shared" si="13"/>
        <v>67815</v>
      </c>
      <c r="E10" s="79">
        <f t="shared" si="13"/>
        <v>75350</v>
      </c>
      <c r="F10" s="79">
        <f t="shared" si="13"/>
        <v>81400</v>
      </c>
      <c r="G10" s="79">
        <f t="shared" si="13"/>
        <v>87450</v>
      </c>
      <c r="H10" s="79">
        <f t="shared" si="13"/>
        <v>93445.000000000015</v>
      </c>
      <c r="I10" s="79">
        <f t="shared" si="13"/>
        <v>99495.000000000015</v>
      </c>
      <c r="J10" s="80">
        <f t="shared" ref="J10:J26" si="14">TRUNC(B10/12*0.3)</f>
        <v>1318</v>
      </c>
      <c r="K10" s="80">
        <f t="shared" ref="K10:K26" si="15">TRUNC((B10+C10)/2/12*0.3)</f>
        <v>1412</v>
      </c>
      <c r="L10" s="80">
        <f t="shared" ref="L10:L26" si="16">TRUNC((D10)/12*0.3)</f>
        <v>1695</v>
      </c>
      <c r="M10" s="80">
        <f t="shared" ref="M10:M26" si="17">TRUNC(((E10+F10)/2)/12*0.3)</f>
        <v>1959</v>
      </c>
      <c r="N10" s="80">
        <f t="shared" ref="N10:N26" si="18">TRUNC(G10/12*0.3)</f>
        <v>2186</v>
      </c>
      <c r="O10" s="80">
        <f t="shared" ref="O10:O26" si="19">TRUNC(((H10+I10)/2)/12*0.3)</f>
        <v>2411</v>
      </c>
      <c r="P10" s="81"/>
      <c r="Q10" s="81"/>
      <c r="R10" s="81"/>
      <c r="S10" s="81"/>
      <c r="T10" s="81"/>
      <c r="U10" s="81"/>
      <c r="V10" s="81"/>
      <c r="W10" s="81"/>
      <c r="X10" s="81"/>
      <c r="Y10" s="81"/>
      <c r="Z10" s="81"/>
      <c r="AA10" s="81"/>
      <c r="AB10" s="81"/>
      <c r="AC10" s="81"/>
      <c r="AD10" s="81"/>
      <c r="AE10" s="81"/>
      <c r="AF10" s="81"/>
    </row>
    <row r="11" spans="1:32">
      <c r="A11" s="76" t="s">
        <v>745</v>
      </c>
      <c r="B11" s="79">
        <f>B9*2*0.6</f>
        <v>57540</v>
      </c>
      <c r="C11" s="79">
        <f t="shared" ref="C11:I11" si="20">C9*2*0.6</f>
        <v>65760</v>
      </c>
      <c r="D11" s="79">
        <f t="shared" si="20"/>
        <v>73980</v>
      </c>
      <c r="E11" s="79">
        <f t="shared" si="20"/>
        <v>82200</v>
      </c>
      <c r="F11" s="79">
        <f t="shared" si="20"/>
        <v>88800</v>
      </c>
      <c r="G11" s="79">
        <f t="shared" si="20"/>
        <v>95400</v>
      </c>
      <c r="H11" s="79">
        <f t="shared" si="20"/>
        <v>101940</v>
      </c>
      <c r="I11" s="79">
        <f t="shared" si="20"/>
        <v>108540</v>
      </c>
      <c r="J11" s="80">
        <f t="shared" si="14"/>
        <v>1438</v>
      </c>
      <c r="K11" s="80">
        <f t="shared" si="15"/>
        <v>1541</v>
      </c>
      <c r="L11" s="80">
        <f t="shared" si="16"/>
        <v>1849</v>
      </c>
      <c r="M11" s="80">
        <f t="shared" si="17"/>
        <v>2137</v>
      </c>
      <c r="N11" s="80">
        <f t="shared" si="18"/>
        <v>2385</v>
      </c>
      <c r="O11" s="80">
        <f t="shared" si="19"/>
        <v>2631</v>
      </c>
      <c r="P11" s="81"/>
      <c r="Q11" s="81"/>
      <c r="R11" s="81"/>
      <c r="S11" s="81"/>
      <c r="T11" s="81"/>
      <c r="U11" s="81"/>
      <c r="V11" s="81"/>
      <c r="W11" s="81"/>
      <c r="X11" s="81"/>
      <c r="Y11" s="81"/>
      <c r="Z11" s="81"/>
      <c r="AA11" s="81"/>
      <c r="AB11" s="81"/>
      <c r="AC11" s="81"/>
      <c r="AD11" s="81"/>
      <c r="AE11" s="81"/>
      <c r="AF11" s="81"/>
    </row>
    <row r="12" spans="1:32">
      <c r="A12" s="76" t="s">
        <v>746</v>
      </c>
      <c r="B12" s="79">
        <f>B9*2*0.65</f>
        <v>62335</v>
      </c>
      <c r="C12" s="79">
        <f t="shared" ref="C12:I12" si="21">C9*2*0.65</f>
        <v>71240</v>
      </c>
      <c r="D12" s="79">
        <f t="shared" si="21"/>
        <v>80145</v>
      </c>
      <c r="E12" s="79">
        <f t="shared" si="21"/>
        <v>89050</v>
      </c>
      <c r="F12" s="79">
        <f t="shared" si="21"/>
        <v>96200</v>
      </c>
      <c r="G12" s="79">
        <f t="shared" si="21"/>
        <v>103350</v>
      </c>
      <c r="H12" s="79">
        <f t="shared" si="21"/>
        <v>110435</v>
      </c>
      <c r="I12" s="79">
        <f t="shared" si="21"/>
        <v>117585</v>
      </c>
      <c r="J12" s="80">
        <f t="shared" si="14"/>
        <v>1558</v>
      </c>
      <c r="K12" s="80">
        <f t="shared" si="15"/>
        <v>1669</v>
      </c>
      <c r="L12" s="80">
        <f t="shared" si="16"/>
        <v>2003</v>
      </c>
      <c r="M12" s="80">
        <f t="shared" si="17"/>
        <v>2315</v>
      </c>
      <c r="N12" s="80">
        <f t="shared" si="18"/>
        <v>2583</v>
      </c>
      <c r="O12" s="80">
        <f t="shared" si="19"/>
        <v>2850</v>
      </c>
      <c r="P12" s="81"/>
      <c r="Q12" s="81"/>
      <c r="R12" s="81"/>
      <c r="S12" s="81"/>
      <c r="T12" s="81"/>
      <c r="U12" s="81"/>
      <c r="V12" s="81"/>
      <c r="W12" s="81"/>
      <c r="X12" s="81"/>
      <c r="Y12" s="81"/>
      <c r="Z12" s="81"/>
      <c r="AA12" s="81"/>
      <c r="AB12" s="81"/>
      <c r="AC12" s="81"/>
      <c r="AD12" s="81"/>
      <c r="AE12" s="81"/>
      <c r="AF12" s="81"/>
    </row>
    <row r="13" spans="1:32">
      <c r="A13" s="76" t="s">
        <v>747</v>
      </c>
      <c r="B13" s="79">
        <f>B9*2*0.7</f>
        <v>67130</v>
      </c>
      <c r="C13" s="79">
        <f t="shared" ref="C13:I13" si="22">C9*2*0.7</f>
        <v>76720</v>
      </c>
      <c r="D13" s="79">
        <f t="shared" si="22"/>
        <v>86310</v>
      </c>
      <c r="E13" s="79">
        <f t="shared" si="22"/>
        <v>95900</v>
      </c>
      <c r="F13" s="79">
        <f t="shared" si="22"/>
        <v>103600</v>
      </c>
      <c r="G13" s="79">
        <f t="shared" si="22"/>
        <v>111300</v>
      </c>
      <c r="H13" s="79">
        <f t="shared" si="22"/>
        <v>118929.99999999999</v>
      </c>
      <c r="I13" s="79">
        <f t="shared" si="22"/>
        <v>126629.99999999999</v>
      </c>
      <c r="J13" s="80">
        <f t="shared" si="14"/>
        <v>1678</v>
      </c>
      <c r="K13" s="80">
        <f t="shared" si="15"/>
        <v>1798</v>
      </c>
      <c r="L13" s="80">
        <f t="shared" si="16"/>
        <v>2157</v>
      </c>
      <c r="M13" s="80">
        <f t="shared" si="17"/>
        <v>2493</v>
      </c>
      <c r="N13" s="80">
        <f t="shared" si="18"/>
        <v>2782</v>
      </c>
      <c r="O13" s="80">
        <f t="shared" si="19"/>
        <v>3069</v>
      </c>
      <c r="P13" s="81"/>
      <c r="Q13" s="81"/>
      <c r="R13" s="81"/>
      <c r="S13" s="81"/>
      <c r="T13" s="81"/>
      <c r="U13" s="81"/>
      <c r="V13" s="81"/>
      <c r="W13" s="81"/>
      <c r="X13" s="81"/>
      <c r="Y13" s="81"/>
      <c r="Z13" s="81"/>
      <c r="AA13" s="81"/>
      <c r="AB13" s="81"/>
      <c r="AC13" s="81"/>
      <c r="AD13" s="81"/>
      <c r="AE13" s="81"/>
      <c r="AF13" s="81"/>
    </row>
    <row r="14" spans="1:32">
      <c r="A14" s="76" t="s">
        <v>748</v>
      </c>
      <c r="B14" s="79">
        <f>B9*2*0.75</f>
        <v>71925</v>
      </c>
      <c r="C14" s="79">
        <f t="shared" ref="C14:I14" si="23">C9*2*0.75</f>
        <v>82200</v>
      </c>
      <c r="D14" s="79">
        <f t="shared" si="23"/>
        <v>92475</v>
      </c>
      <c r="E14" s="79">
        <f t="shared" si="23"/>
        <v>102750</v>
      </c>
      <c r="F14" s="79">
        <f t="shared" si="23"/>
        <v>111000</v>
      </c>
      <c r="G14" s="79">
        <f t="shared" si="23"/>
        <v>119250</v>
      </c>
      <c r="H14" s="79">
        <f t="shared" si="23"/>
        <v>127425</v>
      </c>
      <c r="I14" s="79">
        <f t="shared" si="23"/>
        <v>135675</v>
      </c>
      <c r="J14" s="80">
        <f t="shared" si="14"/>
        <v>1798</v>
      </c>
      <c r="K14" s="80">
        <f t="shared" si="15"/>
        <v>1926</v>
      </c>
      <c r="L14" s="80">
        <f t="shared" si="16"/>
        <v>2311</v>
      </c>
      <c r="M14" s="80">
        <f t="shared" si="17"/>
        <v>2671</v>
      </c>
      <c r="N14" s="80">
        <f t="shared" si="18"/>
        <v>2981</v>
      </c>
      <c r="O14" s="80">
        <f t="shared" si="19"/>
        <v>3288</v>
      </c>
      <c r="P14" s="81"/>
      <c r="Q14" s="81"/>
      <c r="R14" s="81"/>
      <c r="S14" s="81"/>
      <c r="T14" s="81"/>
      <c r="U14" s="81"/>
      <c r="V14" s="81"/>
      <c r="W14" s="81"/>
      <c r="X14" s="81"/>
      <c r="Y14" s="81"/>
      <c r="Z14" s="81"/>
      <c r="AA14" s="81"/>
      <c r="AB14" s="81"/>
      <c r="AC14" s="81"/>
      <c r="AD14" s="81"/>
      <c r="AE14" s="81"/>
      <c r="AF14" s="81"/>
    </row>
    <row r="15" spans="1:32">
      <c r="A15" s="76" t="s">
        <v>749</v>
      </c>
      <c r="B15" s="79">
        <f>B9*2*0.8</f>
        <v>76720</v>
      </c>
      <c r="C15" s="79">
        <f t="shared" ref="C15:I15" si="24">C9*2*0.8</f>
        <v>87680</v>
      </c>
      <c r="D15" s="79">
        <f t="shared" si="24"/>
        <v>98640</v>
      </c>
      <c r="E15" s="79">
        <f t="shared" si="24"/>
        <v>109600</v>
      </c>
      <c r="F15" s="79">
        <f t="shared" si="24"/>
        <v>118400</v>
      </c>
      <c r="G15" s="79">
        <f t="shared" si="24"/>
        <v>127200</v>
      </c>
      <c r="H15" s="79">
        <f t="shared" si="24"/>
        <v>135920</v>
      </c>
      <c r="I15" s="79">
        <f t="shared" si="24"/>
        <v>144720</v>
      </c>
      <c r="J15" s="80">
        <f t="shared" si="14"/>
        <v>1918</v>
      </c>
      <c r="K15" s="80">
        <f t="shared" si="15"/>
        <v>2055</v>
      </c>
      <c r="L15" s="80">
        <f t="shared" si="16"/>
        <v>2466</v>
      </c>
      <c r="M15" s="80">
        <f t="shared" si="17"/>
        <v>2850</v>
      </c>
      <c r="N15" s="80">
        <f t="shared" si="18"/>
        <v>3180</v>
      </c>
      <c r="O15" s="80">
        <f t="shared" si="19"/>
        <v>3508</v>
      </c>
      <c r="P15" s="81"/>
      <c r="Q15" s="81"/>
      <c r="R15" s="81"/>
      <c r="S15" s="81"/>
      <c r="T15" s="81"/>
      <c r="U15" s="81"/>
      <c r="V15" s="81"/>
      <c r="W15" s="81"/>
      <c r="X15" s="81"/>
      <c r="Y15" s="81"/>
      <c r="Z15" s="81"/>
      <c r="AA15" s="81"/>
      <c r="AB15" s="81"/>
      <c r="AC15" s="81"/>
      <c r="AD15" s="81"/>
      <c r="AE15" s="81"/>
      <c r="AF15" s="81"/>
    </row>
    <row r="16" spans="1:32">
      <c r="A16" s="76" t="s">
        <v>750</v>
      </c>
      <c r="B16" s="79">
        <f>B9*2*0.9</f>
        <v>86310</v>
      </c>
      <c r="C16" s="79">
        <f t="shared" ref="C16:I16" si="25">C9*2*0.9</f>
        <v>98640</v>
      </c>
      <c r="D16" s="79">
        <f t="shared" si="25"/>
        <v>110970</v>
      </c>
      <c r="E16" s="79">
        <f t="shared" si="25"/>
        <v>123300</v>
      </c>
      <c r="F16" s="79">
        <f t="shared" si="25"/>
        <v>133200</v>
      </c>
      <c r="G16" s="79">
        <f t="shared" si="25"/>
        <v>143100</v>
      </c>
      <c r="H16" s="79">
        <f t="shared" si="25"/>
        <v>152910</v>
      </c>
      <c r="I16" s="79">
        <f t="shared" si="25"/>
        <v>162810</v>
      </c>
      <c r="J16" s="80">
        <f t="shared" si="14"/>
        <v>2157</v>
      </c>
      <c r="K16" s="80">
        <f t="shared" si="15"/>
        <v>2311</v>
      </c>
      <c r="L16" s="80">
        <f t="shared" si="16"/>
        <v>2774</v>
      </c>
      <c r="M16" s="80">
        <f t="shared" si="17"/>
        <v>3206</v>
      </c>
      <c r="N16" s="80">
        <f t="shared" si="18"/>
        <v>3577</v>
      </c>
      <c r="O16" s="80">
        <f t="shared" si="19"/>
        <v>3946</v>
      </c>
      <c r="P16" s="81"/>
      <c r="Q16" s="81"/>
      <c r="R16" s="81"/>
      <c r="S16" s="81"/>
      <c r="T16" s="81"/>
      <c r="U16" s="81"/>
      <c r="V16" s="81"/>
      <c r="W16" s="81"/>
      <c r="X16" s="81"/>
      <c r="Y16" s="81"/>
      <c r="Z16" s="81"/>
      <c r="AA16" s="81"/>
      <c r="AB16" s="81"/>
      <c r="AC16" s="81"/>
      <c r="AD16" s="81"/>
      <c r="AE16" s="81"/>
      <c r="AF16" s="81"/>
    </row>
    <row r="17" spans="1:32">
      <c r="A17" s="76" t="s">
        <v>751</v>
      </c>
      <c r="B17" s="79">
        <f>B9*2</f>
        <v>95900</v>
      </c>
      <c r="C17" s="79">
        <f t="shared" ref="C17:I17" si="26">C9*2</f>
        <v>109600</v>
      </c>
      <c r="D17" s="79">
        <f t="shared" si="26"/>
        <v>123300</v>
      </c>
      <c r="E17" s="79">
        <f t="shared" si="26"/>
        <v>137000</v>
      </c>
      <c r="F17" s="79">
        <f t="shared" si="26"/>
        <v>148000</v>
      </c>
      <c r="G17" s="79">
        <f t="shared" si="26"/>
        <v>159000</v>
      </c>
      <c r="H17" s="79">
        <f t="shared" si="26"/>
        <v>169900</v>
      </c>
      <c r="I17" s="79">
        <f t="shared" si="26"/>
        <v>180900</v>
      </c>
      <c r="J17" s="80">
        <f>J9*2</f>
        <v>2396</v>
      </c>
      <c r="K17" s="80">
        <f t="shared" ref="K17:O17" si="27">K9*2</f>
        <v>2568</v>
      </c>
      <c r="L17" s="80">
        <f t="shared" si="27"/>
        <v>3082</v>
      </c>
      <c r="M17" s="80">
        <f t="shared" si="27"/>
        <v>3562</v>
      </c>
      <c r="N17" s="80">
        <f t="shared" si="27"/>
        <v>3974</v>
      </c>
      <c r="O17" s="80">
        <f t="shared" si="27"/>
        <v>4384</v>
      </c>
      <c r="P17" s="81"/>
      <c r="Q17" s="81"/>
      <c r="R17" s="81"/>
      <c r="S17" s="81"/>
      <c r="T17" s="81"/>
      <c r="U17" s="81"/>
      <c r="V17" s="81"/>
      <c r="W17" s="81"/>
      <c r="X17" s="81"/>
      <c r="Y17" s="81"/>
      <c r="Z17" s="81"/>
      <c r="AA17" s="81"/>
      <c r="AB17" s="81"/>
      <c r="AC17" s="81"/>
      <c r="AD17" s="81"/>
      <c r="AE17" s="81"/>
      <c r="AF17" s="81"/>
    </row>
    <row r="18" spans="1:32">
      <c r="A18" s="76" t="s">
        <v>752</v>
      </c>
      <c r="B18" s="79">
        <f>B9*2*1.1</f>
        <v>105490.00000000001</v>
      </c>
      <c r="C18" s="79">
        <f t="shared" ref="C18:I18" si="28">C9*2*1.1</f>
        <v>120560.00000000001</v>
      </c>
      <c r="D18" s="79">
        <f t="shared" si="28"/>
        <v>135630</v>
      </c>
      <c r="E18" s="79">
        <f t="shared" si="28"/>
        <v>150700</v>
      </c>
      <c r="F18" s="79">
        <f t="shared" si="28"/>
        <v>162800</v>
      </c>
      <c r="G18" s="79">
        <f t="shared" si="28"/>
        <v>174900</v>
      </c>
      <c r="H18" s="79">
        <f t="shared" si="28"/>
        <v>186890.00000000003</v>
      </c>
      <c r="I18" s="79">
        <f t="shared" si="28"/>
        <v>198990.00000000003</v>
      </c>
      <c r="J18" s="80">
        <f t="shared" si="14"/>
        <v>2637</v>
      </c>
      <c r="K18" s="80">
        <f t="shared" si="15"/>
        <v>2825</v>
      </c>
      <c r="L18" s="80">
        <f t="shared" si="16"/>
        <v>3390</v>
      </c>
      <c r="M18" s="80">
        <f t="shared" si="17"/>
        <v>3918</v>
      </c>
      <c r="N18" s="80">
        <f t="shared" si="18"/>
        <v>4372</v>
      </c>
      <c r="O18" s="80">
        <f t="shared" si="19"/>
        <v>4823</v>
      </c>
      <c r="P18" s="81"/>
      <c r="Q18" s="81"/>
      <c r="R18" s="81"/>
      <c r="S18" s="81"/>
      <c r="T18" s="81"/>
      <c r="U18" s="81"/>
      <c r="V18" s="81"/>
      <c r="W18" s="81"/>
      <c r="X18" s="81"/>
      <c r="Y18" s="81"/>
      <c r="Z18" s="81"/>
      <c r="AA18" s="81"/>
      <c r="AB18" s="81"/>
      <c r="AC18" s="81"/>
      <c r="AD18" s="81"/>
      <c r="AE18" s="81"/>
      <c r="AF18" s="81"/>
    </row>
    <row r="19" spans="1:32">
      <c r="A19" s="76" t="s">
        <v>753</v>
      </c>
      <c r="B19" s="79">
        <f>B9*2*1.2</f>
        <v>115080</v>
      </c>
      <c r="C19" s="79">
        <f t="shared" ref="C19:I19" si="29">C9*2*1.2</f>
        <v>131520</v>
      </c>
      <c r="D19" s="79">
        <f t="shared" si="29"/>
        <v>147960</v>
      </c>
      <c r="E19" s="79">
        <f t="shared" si="29"/>
        <v>164400</v>
      </c>
      <c r="F19" s="79">
        <f t="shared" si="29"/>
        <v>177600</v>
      </c>
      <c r="G19" s="79">
        <f t="shared" si="29"/>
        <v>190800</v>
      </c>
      <c r="H19" s="79">
        <f t="shared" si="29"/>
        <v>203880</v>
      </c>
      <c r="I19" s="79">
        <f t="shared" si="29"/>
        <v>217080</v>
      </c>
      <c r="J19" s="80">
        <f t="shared" si="14"/>
        <v>2877</v>
      </c>
      <c r="K19" s="80">
        <f t="shared" si="15"/>
        <v>3082</v>
      </c>
      <c r="L19" s="80">
        <f t="shared" si="16"/>
        <v>3699</v>
      </c>
      <c r="M19" s="80">
        <f t="shared" si="17"/>
        <v>4275</v>
      </c>
      <c r="N19" s="80">
        <f t="shared" si="18"/>
        <v>4770</v>
      </c>
      <c r="O19" s="80">
        <f t="shared" si="19"/>
        <v>5262</v>
      </c>
      <c r="P19" s="81"/>
      <c r="Q19" s="81"/>
      <c r="R19" s="81"/>
      <c r="S19" s="81"/>
      <c r="T19" s="81"/>
      <c r="U19" s="81"/>
      <c r="V19" s="81"/>
      <c r="W19" s="81"/>
      <c r="X19" s="81"/>
      <c r="Y19" s="81"/>
      <c r="Z19" s="81"/>
      <c r="AA19" s="81"/>
      <c r="AB19" s="81"/>
      <c r="AC19" s="81"/>
      <c r="AD19" s="81"/>
      <c r="AE19" s="81"/>
      <c r="AF19" s="81"/>
    </row>
    <row r="20" spans="1:32">
      <c r="A20" s="76" t="s">
        <v>754</v>
      </c>
      <c r="B20" s="79">
        <f>B27*2*0.15</f>
        <v>8535</v>
      </c>
      <c r="C20" s="79">
        <f>C27*2*0.15</f>
        <v>9750</v>
      </c>
      <c r="D20" s="79">
        <f>D27*2*0.15</f>
        <v>10965</v>
      </c>
      <c r="E20" s="79">
        <f>E27*2*0.15</f>
        <v>12180</v>
      </c>
      <c r="F20" s="79">
        <f>F27*2*0.15</f>
        <v>13155</v>
      </c>
      <c r="G20" s="79">
        <f t="shared" ref="G20:I20" si="30">G27*2*0.15</f>
        <v>14130</v>
      </c>
      <c r="H20" s="79">
        <f t="shared" si="30"/>
        <v>15105</v>
      </c>
      <c r="I20" s="79">
        <f t="shared" si="30"/>
        <v>16080</v>
      </c>
      <c r="J20" s="80">
        <f t="shared" si="14"/>
        <v>213</v>
      </c>
      <c r="K20" s="80">
        <f t="shared" si="15"/>
        <v>228</v>
      </c>
      <c r="L20" s="80">
        <f t="shared" si="16"/>
        <v>274</v>
      </c>
      <c r="M20" s="80">
        <f t="shared" si="17"/>
        <v>316</v>
      </c>
      <c r="N20" s="80">
        <f t="shared" si="18"/>
        <v>353</v>
      </c>
      <c r="O20" s="80">
        <f t="shared" si="19"/>
        <v>389</v>
      </c>
      <c r="P20" s="81"/>
      <c r="Q20" s="81"/>
      <c r="R20" s="81"/>
      <c r="S20" s="81"/>
      <c r="T20" s="81"/>
      <c r="U20" s="81"/>
      <c r="V20" s="81"/>
      <c r="W20" s="81"/>
      <c r="X20" s="81"/>
      <c r="Y20" s="81"/>
      <c r="Z20" s="81"/>
      <c r="AA20" s="81"/>
      <c r="AB20" s="81"/>
      <c r="AC20" s="81"/>
      <c r="AD20" s="81"/>
      <c r="AE20" s="81"/>
      <c r="AF20" s="81"/>
    </row>
    <row r="21" spans="1:32">
      <c r="A21" s="76" t="s">
        <v>755</v>
      </c>
      <c r="B21" s="79">
        <f>B27*2*0.2</f>
        <v>11380</v>
      </c>
      <c r="C21" s="79">
        <f t="shared" ref="C21:I21" si="31">C27*2*0.2</f>
        <v>13000</v>
      </c>
      <c r="D21" s="79">
        <f t="shared" si="31"/>
        <v>14620</v>
      </c>
      <c r="E21" s="79">
        <f t="shared" si="31"/>
        <v>16240</v>
      </c>
      <c r="F21" s="79">
        <f t="shared" si="31"/>
        <v>17540</v>
      </c>
      <c r="G21" s="79">
        <f t="shared" si="31"/>
        <v>18840</v>
      </c>
      <c r="H21" s="79">
        <f t="shared" si="31"/>
        <v>20140</v>
      </c>
      <c r="I21" s="79">
        <f t="shared" si="31"/>
        <v>21440</v>
      </c>
      <c r="J21" s="80">
        <f t="shared" si="14"/>
        <v>284</v>
      </c>
      <c r="K21" s="80">
        <f t="shared" si="15"/>
        <v>304</v>
      </c>
      <c r="L21" s="80">
        <f t="shared" si="16"/>
        <v>365</v>
      </c>
      <c r="M21" s="80">
        <f t="shared" si="17"/>
        <v>422</v>
      </c>
      <c r="N21" s="80">
        <f t="shared" si="18"/>
        <v>471</v>
      </c>
      <c r="O21" s="80">
        <f t="shared" si="19"/>
        <v>519</v>
      </c>
      <c r="P21" s="81"/>
      <c r="Q21" s="81"/>
      <c r="R21" s="81"/>
      <c r="S21" s="81"/>
      <c r="T21" s="81"/>
      <c r="U21" s="81"/>
      <c r="V21" s="81"/>
      <c r="W21" s="81"/>
      <c r="X21" s="81"/>
      <c r="Y21" s="81"/>
      <c r="Z21" s="81"/>
      <c r="AA21" s="81"/>
      <c r="AB21" s="81"/>
      <c r="AC21" s="81"/>
      <c r="AD21" s="81"/>
      <c r="AE21" s="81"/>
      <c r="AF21" s="81"/>
    </row>
    <row r="22" spans="1:32">
      <c r="A22" s="76" t="s">
        <v>756</v>
      </c>
      <c r="B22" s="79">
        <f>B27*2*0.25</f>
        <v>14225</v>
      </c>
      <c r="C22" s="79">
        <f t="shared" ref="C22:I22" si="32">C27*2*0.25</f>
        <v>16250</v>
      </c>
      <c r="D22" s="79">
        <f t="shared" si="32"/>
        <v>18275</v>
      </c>
      <c r="E22" s="79">
        <f t="shared" si="32"/>
        <v>20300</v>
      </c>
      <c r="F22" s="79">
        <f t="shared" si="32"/>
        <v>21925</v>
      </c>
      <c r="G22" s="79">
        <f t="shared" si="32"/>
        <v>23550</v>
      </c>
      <c r="H22" s="79">
        <f t="shared" si="32"/>
        <v>25175</v>
      </c>
      <c r="I22" s="79">
        <f t="shared" si="32"/>
        <v>26800</v>
      </c>
      <c r="J22" s="80">
        <f t="shared" si="14"/>
        <v>355</v>
      </c>
      <c r="K22" s="80">
        <f t="shared" si="15"/>
        <v>380</v>
      </c>
      <c r="L22" s="80">
        <f t="shared" si="16"/>
        <v>456</v>
      </c>
      <c r="M22" s="80">
        <f t="shared" si="17"/>
        <v>527</v>
      </c>
      <c r="N22" s="80">
        <f t="shared" si="18"/>
        <v>588</v>
      </c>
      <c r="O22" s="80">
        <f t="shared" si="19"/>
        <v>649</v>
      </c>
      <c r="P22" s="81"/>
      <c r="Q22" s="81"/>
      <c r="R22" s="81"/>
      <c r="S22" s="81"/>
      <c r="T22" s="81"/>
      <c r="U22" s="81"/>
      <c r="V22" s="81"/>
      <c r="W22" s="81"/>
      <c r="X22" s="81"/>
      <c r="Y22" s="81"/>
      <c r="Z22" s="81"/>
      <c r="AA22" s="81"/>
      <c r="AB22" s="81"/>
      <c r="AC22" s="81"/>
      <c r="AD22" s="81"/>
      <c r="AE22" s="81"/>
      <c r="AF22" s="81"/>
    </row>
    <row r="23" spans="1:32">
      <c r="A23" s="76" t="s">
        <v>757</v>
      </c>
      <c r="B23" s="79">
        <f>B27*2*0.3</f>
        <v>17070</v>
      </c>
      <c r="C23" s="79">
        <f t="shared" ref="C23:I23" si="33">C27*2*0.3</f>
        <v>19500</v>
      </c>
      <c r="D23" s="79">
        <f t="shared" si="33"/>
        <v>21930</v>
      </c>
      <c r="E23" s="79">
        <f t="shared" si="33"/>
        <v>24360</v>
      </c>
      <c r="F23" s="79">
        <f t="shared" si="33"/>
        <v>26310</v>
      </c>
      <c r="G23" s="79">
        <f t="shared" si="33"/>
        <v>28260</v>
      </c>
      <c r="H23" s="79">
        <f t="shared" si="33"/>
        <v>30210</v>
      </c>
      <c r="I23" s="79">
        <f t="shared" si="33"/>
        <v>32160</v>
      </c>
      <c r="J23" s="80">
        <f t="shared" si="14"/>
        <v>426</v>
      </c>
      <c r="K23" s="80">
        <f t="shared" si="15"/>
        <v>457</v>
      </c>
      <c r="L23" s="80">
        <f t="shared" si="16"/>
        <v>548</v>
      </c>
      <c r="M23" s="80">
        <f t="shared" si="17"/>
        <v>633</v>
      </c>
      <c r="N23" s="80">
        <f t="shared" si="18"/>
        <v>706</v>
      </c>
      <c r="O23" s="80">
        <f t="shared" si="19"/>
        <v>779</v>
      </c>
      <c r="P23" s="81"/>
      <c r="Q23" s="81"/>
      <c r="R23" s="81"/>
      <c r="S23" s="81"/>
      <c r="T23" s="81"/>
      <c r="U23" s="81"/>
      <c r="V23" s="81"/>
      <c r="W23" s="81"/>
      <c r="X23" s="81"/>
      <c r="Y23" s="81"/>
      <c r="Z23" s="81"/>
      <c r="AA23" s="81"/>
      <c r="AB23" s="81"/>
      <c r="AC23" s="81"/>
      <c r="AD23" s="81"/>
      <c r="AE23" s="81"/>
      <c r="AF23" s="81"/>
    </row>
    <row r="24" spans="1:32">
      <c r="A24" s="76" t="s">
        <v>758</v>
      </c>
      <c r="B24" s="79">
        <f>B27*2*0.35</f>
        <v>19915</v>
      </c>
      <c r="C24" s="79">
        <f t="shared" ref="C24:I24" si="34">C27*2*0.35</f>
        <v>22750</v>
      </c>
      <c r="D24" s="79">
        <f t="shared" si="34"/>
        <v>25585</v>
      </c>
      <c r="E24" s="79">
        <f t="shared" si="34"/>
        <v>28420</v>
      </c>
      <c r="F24" s="79">
        <f t="shared" si="34"/>
        <v>30694.999999999996</v>
      </c>
      <c r="G24" s="79">
        <f t="shared" si="34"/>
        <v>32970</v>
      </c>
      <c r="H24" s="79">
        <f t="shared" si="34"/>
        <v>35245</v>
      </c>
      <c r="I24" s="79">
        <f t="shared" si="34"/>
        <v>37520</v>
      </c>
      <c r="J24" s="80">
        <f t="shared" si="14"/>
        <v>497</v>
      </c>
      <c r="K24" s="80">
        <f t="shared" si="15"/>
        <v>533</v>
      </c>
      <c r="L24" s="80">
        <f t="shared" si="16"/>
        <v>639</v>
      </c>
      <c r="M24" s="80">
        <f t="shared" si="17"/>
        <v>738</v>
      </c>
      <c r="N24" s="80">
        <f t="shared" si="18"/>
        <v>824</v>
      </c>
      <c r="O24" s="80">
        <f t="shared" si="19"/>
        <v>909</v>
      </c>
      <c r="P24" s="81"/>
      <c r="Q24" s="81"/>
      <c r="R24" s="81"/>
      <c r="S24" s="81"/>
      <c r="T24" s="81"/>
      <c r="U24" s="81"/>
      <c r="V24" s="81"/>
      <c r="W24" s="81"/>
      <c r="X24" s="81"/>
      <c r="Y24" s="81"/>
      <c r="Z24" s="81"/>
      <c r="AA24" s="81"/>
      <c r="AB24" s="81"/>
      <c r="AC24" s="81"/>
      <c r="AD24" s="81"/>
      <c r="AE24" s="81"/>
      <c r="AF24" s="81"/>
    </row>
    <row r="25" spans="1:32">
      <c r="A25" s="76" t="s">
        <v>759</v>
      </c>
      <c r="B25" s="79">
        <f>B27*2*0.4</f>
        <v>22760</v>
      </c>
      <c r="C25" s="79">
        <f t="shared" ref="C25:I25" si="35">C27*2*0.4</f>
        <v>26000</v>
      </c>
      <c r="D25" s="79">
        <f t="shared" si="35"/>
        <v>29240</v>
      </c>
      <c r="E25" s="79">
        <f t="shared" si="35"/>
        <v>32480</v>
      </c>
      <c r="F25" s="79">
        <f t="shared" si="35"/>
        <v>35080</v>
      </c>
      <c r="G25" s="79">
        <f t="shared" si="35"/>
        <v>37680</v>
      </c>
      <c r="H25" s="79">
        <f t="shared" si="35"/>
        <v>40280</v>
      </c>
      <c r="I25" s="79">
        <f t="shared" si="35"/>
        <v>42880</v>
      </c>
      <c r="J25" s="80">
        <f t="shared" si="14"/>
        <v>569</v>
      </c>
      <c r="K25" s="80">
        <f t="shared" si="15"/>
        <v>609</v>
      </c>
      <c r="L25" s="80">
        <f t="shared" si="16"/>
        <v>731</v>
      </c>
      <c r="M25" s="80">
        <f t="shared" si="17"/>
        <v>844</v>
      </c>
      <c r="N25" s="80">
        <f t="shared" si="18"/>
        <v>942</v>
      </c>
      <c r="O25" s="80">
        <f t="shared" si="19"/>
        <v>1039</v>
      </c>
      <c r="P25" s="81"/>
      <c r="Q25" s="81"/>
      <c r="R25" s="81"/>
      <c r="S25" s="81"/>
      <c r="T25" s="81"/>
      <c r="U25" s="81"/>
      <c r="V25" s="81"/>
      <c r="W25" s="81"/>
      <c r="X25" s="81"/>
      <c r="Y25" s="81"/>
      <c r="Z25" s="81"/>
      <c r="AA25" s="81"/>
      <c r="AB25" s="81"/>
      <c r="AC25" s="81"/>
      <c r="AD25" s="81"/>
      <c r="AE25" s="81"/>
      <c r="AF25" s="81"/>
    </row>
    <row r="26" spans="1:32">
      <c r="A26" s="76" t="s">
        <v>760</v>
      </c>
      <c r="B26" s="79">
        <f>B27*2*0.45</f>
        <v>25605</v>
      </c>
      <c r="C26" s="79">
        <f t="shared" ref="C26:I26" si="36">C27*2*0.45</f>
        <v>29250</v>
      </c>
      <c r="D26" s="79">
        <f t="shared" si="36"/>
        <v>32895</v>
      </c>
      <c r="E26" s="79">
        <f t="shared" si="36"/>
        <v>36540</v>
      </c>
      <c r="F26" s="79">
        <f t="shared" si="36"/>
        <v>39465</v>
      </c>
      <c r="G26" s="79">
        <f t="shared" si="36"/>
        <v>42390</v>
      </c>
      <c r="H26" s="79">
        <f t="shared" si="36"/>
        <v>45315</v>
      </c>
      <c r="I26" s="79">
        <f t="shared" si="36"/>
        <v>48240</v>
      </c>
      <c r="J26" s="80">
        <f t="shared" si="14"/>
        <v>640</v>
      </c>
      <c r="K26" s="80">
        <f t="shared" si="15"/>
        <v>685</v>
      </c>
      <c r="L26" s="80">
        <f t="shared" si="16"/>
        <v>822</v>
      </c>
      <c r="M26" s="80">
        <f t="shared" si="17"/>
        <v>950</v>
      </c>
      <c r="N26" s="80">
        <f t="shared" si="18"/>
        <v>1059</v>
      </c>
      <c r="O26" s="80">
        <f t="shared" si="19"/>
        <v>1169</v>
      </c>
      <c r="P26" s="81"/>
      <c r="Q26" s="81"/>
      <c r="R26" s="81"/>
      <c r="S26" s="81"/>
      <c r="T26" s="81"/>
      <c r="U26" s="81"/>
      <c r="V26" s="81"/>
      <c r="W26" s="81"/>
      <c r="X26" s="81"/>
      <c r="Y26" s="81"/>
      <c r="Z26" s="81"/>
      <c r="AA26" s="81"/>
      <c r="AB26" s="81"/>
      <c r="AC26" s="81"/>
      <c r="AD26" s="81"/>
      <c r="AE26" s="81"/>
      <c r="AF26" s="81"/>
    </row>
    <row r="27" spans="1:32">
      <c r="A27" s="82" t="s">
        <v>761</v>
      </c>
      <c r="B27" s="83">
        <f>'MTSP 50% Income Limits '!B3</f>
        <v>28450</v>
      </c>
      <c r="C27" s="83">
        <f>'MTSP 50% Income Limits '!C3</f>
        <v>32500</v>
      </c>
      <c r="D27" s="83">
        <f>'MTSP 50% Income Limits '!D3</f>
        <v>36550</v>
      </c>
      <c r="E27" s="83">
        <f>'MTSP 50% Income Limits '!E3</f>
        <v>40600</v>
      </c>
      <c r="F27" s="83">
        <f>'MTSP 50% Income Limits '!F3</f>
        <v>43850</v>
      </c>
      <c r="G27" s="83">
        <f>'MTSP 50% Income Limits '!G3</f>
        <v>47100</v>
      </c>
      <c r="H27" s="83">
        <f>'MTSP 50% Income Limits '!H3</f>
        <v>50350</v>
      </c>
      <c r="I27" s="83">
        <f>'MTSP 50% Income Limits '!I3</f>
        <v>53600</v>
      </c>
      <c r="J27" s="83">
        <f>TRUNC(B27/12*0.3)</f>
        <v>711</v>
      </c>
      <c r="K27" s="83">
        <f>TRUNC((B27+C27)/2/12*0.3)</f>
        <v>761</v>
      </c>
      <c r="L27" s="83">
        <f>TRUNC((D27)/12*0.3)</f>
        <v>913</v>
      </c>
      <c r="M27" s="83">
        <f>TRUNC(((E27+F27)/2)/12*0.3)</f>
        <v>1055</v>
      </c>
      <c r="N27" s="83">
        <f>TRUNC(G27/12*0.3)</f>
        <v>1177</v>
      </c>
      <c r="O27" s="83">
        <f>TRUNC(((H27+I27)/2)/12*0.3)</f>
        <v>1299</v>
      </c>
      <c r="P27" s="81"/>
      <c r="Q27" s="81"/>
      <c r="R27" s="81"/>
      <c r="S27" s="81"/>
      <c r="T27" s="81"/>
      <c r="U27" s="81"/>
      <c r="V27" s="81"/>
      <c r="W27" s="81"/>
      <c r="X27" s="81"/>
      <c r="Y27" s="81"/>
      <c r="Z27" s="81"/>
      <c r="AA27" s="81"/>
      <c r="AB27" s="81"/>
      <c r="AC27" s="81"/>
      <c r="AD27" s="81"/>
      <c r="AE27" s="81"/>
      <c r="AF27" s="81"/>
    </row>
    <row r="28" spans="1:32">
      <c r="A28" s="76" t="s">
        <v>762</v>
      </c>
      <c r="B28" s="79">
        <f>B27*2*0.55</f>
        <v>31295.000000000004</v>
      </c>
      <c r="C28" s="79">
        <f t="shared" ref="C28:I28" si="37">C27*2*0.55</f>
        <v>35750</v>
      </c>
      <c r="D28" s="79">
        <f t="shared" si="37"/>
        <v>40205</v>
      </c>
      <c r="E28" s="79">
        <f t="shared" si="37"/>
        <v>44660</v>
      </c>
      <c r="F28" s="79">
        <f t="shared" si="37"/>
        <v>48235.000000000007</v>
      </c>
      <c r="G28" s="79">
        <f t="shared" si="37"/>
        <v>51810.000000000007</v>
      </c>
      <c r="H28" s="79">
        <f t="shared" si="37"/>
        <v>55385.000000000007</v>
      </c>
      <c r="I28" s="79">
        <f t="shared" si="37"/>
        <v>58960.000000000007</v>
      </c>
      <c r="J28" s="80">
        <f t="shared" ref="J28:J34" si="38">TRUNC(B28/12*0.3)</f>
        <v>782</v>
      </c>
      <c r="K28" s="80">
        <f t="shared" ref="K28:K34" si="39">TRUNC((B28+C28)/2/12*0.3)</f>
        <v>838</v>
      </c>
      <c r="L28" s="80">
        <f t="shared" ref="L28:L34" si="40">TRUNC((D28)/12*0.3)</f>
        <v>1005</v>
      </c>
      <c r="M28" s="80">
        <f t="shared" ref="M28:M34" si="41">TRUNC(((E28+F28)/2)/12*0.3)</f>
        <v>1161</v>
      </c>
      <c r="N28" s="80">
        <f t="shared" ref="N28:N34" si="42">TRUNC(G28/12*0.3)</f>
        <v>1295</v>
      </c>
      <c r="O28" s="80">
        <f t="shared" ref="O28:O34" si="43">TRUNC(((H28+I28)/2)/12*0.3)</f>
        <v>1429</v>
      </c>
      <c r="P28" s="81"/>
      <c r="Q28" s="81"/>
      <c r="R28" s="81"/>
      <c r="S28" s="81"/>
      <c r="T28" s="81"/>
      <c r="U28" s="81"/>
      <c r="V28" s="81"/>
      <c r="W28" s="81"/>
      <c r="X28" s="81"/>
      <c r="Y28" s="81"/>
      <c r="Z28" s="81"/>
      <c r="AA28" s="81"/>
      <c r="AB28" s="81"/>
      <c r="AC28" s="81"/>
      <c r="AD28" s="81"/>
      <c r="AE28" s="81"/>
      <c r="AF28" s="81"/>
    </row>
    <row r="29" spans="1:32">
      <c r="A29" s="76" t="s">
        <v>763</v>
      </c>
      <c r="B29" s="79">
        <f>B27*2*0.6</f>
        <v>34140</v>
      </c>
      <c r="C29" s="79">
        <f t="shared" ref="C29:I29" si="44">C27*2*0.6</f>
        <v>39000</v>
      </c>
      <c r="D29" s="79">
        <f t="shared" si="44"/>
        <v>43860</v>
      </c>
      <c r="E29" s="79">
        <f t="shared" si="44"/>
        <v>48720</v>
      </c>
      <c r="F29" s="79">
        <f t="shared" si="44"/>
        <v>52620</v>
      </c>
      <c r="G29" s="79">
        <f t="shared" si="44"/>
        <v>56520</v>
      </c>
      <c r="H29" s="79">
        <f t="shared" si="44"/>
        <v>60420</v>
      </c>
      <c r="I29" s="79">
        <f t="shared" si="44"/>
        <v>64320</v>
      </c>
      <c r="J29" s="80">
        <f t="shared" si="38"/>
        <v>853</v>
      </c>
      <c r="K29" s="80">
        <f t="shared" si="39"/>
        <v>914</v>
      </c>
      <c r="L29" s="80">
        <f t="shared" si="40"/>
        <v>1096</v>
      </c>
      <c r="M29" s="80">
        <f t="shared" si="41"/>
        <v>1266</v>
      </c>
      <c r="N29" s="80">
        <f t="shared" si="42"/>
        <v>1413</v>
      </c>
      <c r="O29" s="80">
        <f t="shared" si="43"/>
        <v>1559</v>
      </c>
      <c r="P29" s="81"/>
      <c r="Q29" s="81"/>
      <c r="R29" s="81"/>
      <c r="S29" s="81"/>
      <c r="T29" s="81"/>
      <c r="U29" s="81"/>
      <c r="V29" s="81"/>
      <c r="W29" s="81"/>
      <c r="X29" s="81"/>
      <c r="Y29" s="81"/>
      <c r="Z29" s="81"/>
      <c r="AA29" s="81"/>
      <c r="AB29" s="81"/>
      <c r="AC29" s="81"/>
      <c r="AD29" s="81"/>
      <c r="AE29" s="81"/>
      <c r="AF29" s="81"/>
    </row>
    <row r="30" spans="1:32">
      <c r="A30" s="76" t="s">
        <v>764</v>
      </c>
      <c r="B30" s="79">
        <f>B27*2*0.65</f>
        <v>36985</v>
      </c>
      <c r="C30" s="79">
        <f t="shared" ref="C30:I30" si="45">C27*2*0.65</f>
        <v>42250</v>
      </c>
      <c r="D30" s="79">
        <f t="shared" si="45"/>
        <v>47515</v>
      </c>
      <c r="E30" s="79">
        <f t="shared" si="45"/>
        <v>52780</v>
      </c>
      <c r="F30" s="79">
        <f t="shared" si="45"/>
        <v>57005</v>
      </c>
      <c r="G30" s="79">
        <f t="shared" si="45"/>
        <v>61230</v>
      </c>
      <c r="H30" s="79">
        <f t="shared" si="45"/>
        <v>65455</v>
      </c>
      <c r="I30" s="79">
        <f t="shared" si="45"/>
        <v>69680</v>
      </c>
      <c r="J30" s="80">
        <f t="shared" si="38"/>
        <v>924</v>
      </c>
      <c r="K30" s="80">
        <f t="shared" si="39"/>
        <v>990</v>
      </c>
      <c r="L30" s="80">
        <f t="shared" si="40"/>
        <v>1187</v>
      </c>
      <c r="M30" s="80">
        <f t="shared" si="41"/>
        <v>1372</v>
      </c>
      <c r="N30" s="80">
        <f t="shared" si="42"/>
        <v>1530</v>
      </c>
      <c r="O30" s="80">
        <f t="shared" si="43"/>
        <v>1689</v>
      </c>
      <c r="P30" s="81"/>
      <c r="Q30" s="81"/>
      <c r="R30" s="81"/>
      <c r="S30" s="81"/>
      <c r="T30" s="81"/>
      <c r="U30" s="81"/>
      <c r="V30" s="81"/>
      <c r="W30" s="81"/>
      <c r="X30" s="81"/>
      <c r="Y30" s="81"/>
      <c r="Z30" s="81"/>
      <c r="AA30" s="81"/>
      <c r="AB30" s="81"/>
      <c r="AC30" s="81"/>
      <c r="AD30" s="81"/>
      <c r="AE30" s="81"/>
      <c r="AF30" s="81"/>
    </row>
    <row r="31" spans="1:32">
      <c r="A31" s="76" t="s">
        <v>765</v>
      </c>
      <c r="B31" s="79">
        <f>B27*2*0.7</f>
        <v>39830</v>
      </c>
      <c r="C31" s="79">
        <f t="shared" ref="C31:I31" si="46">C27*2*0.7</f>
        <v>45500</v>
      </c>
      <c r="D31" s="79">
        <f t="shared" si="46"/>
        <v>51170</v>
      </c>
      <c r="E31" s="79">
        <f t="shared" si="46"/>
        <v>56840</v>
      </c>
      <c r="F31" s="79">
        <f t="shared" si="46"/>
        <v>61389.999999999993</v>
      </c>
      <c r="G31" s="79">
        <f t="shared" si="46"/>
        <v>65940</v>
      </c>
      <c r="H31" s="79">
        <f t="shared" si="46"/>
        <v>70490</v>
      </c>
      <c r="I31" s="79">
        <f t="shared" si="46"/>
        <v>75040</v>
      </c>
      <c r="J31" s="80">
        <f t="shared" si="38"/>
        <v>995</v>
      </c>
      <c r="K31" s="80">
        <f t="shared" si="39"/>
        <v>1066</v>
      </c>
      <c r="L31" s="80">
        <f t="shared" si="40"/>
        <v>1279</v>
      </c>
      <c r="M31" s="80">
        <f t="shared" si="41"/>
        <v>1477</v>
      </c>
      <c r="N31" s="80">
        <f t="shared" si="42"/>
        <v>1648</v>
      </c>
      <c r="O31" s="80">
        <f t="shared" si="43"/>
        <v>1819</v>
      </c>
      <c r="P31" s="81"/>
      <c r="Q31" s="81"/>
      <c r="R31" s="81"/>
      <c r="S31" s="81"/>
      <c r="T31" s="81"/>
      <c r="U31" s="81"/>
      <c r="V31" s="81"/>
      <c r="W31" s="81"/>
      <c r="X31" s="81"/>
      <c r="Y31" s="81"/>
      <c r="Z31" s="81"/>
      <c r="AA31" s="81"/>
      <c r="AB31" s="81"/>
      <c r="AC31" s="81"/>
      <c r="AD31" s="81"/>
      <c r="AE31" s="81"/>
      <c r="AF31" s="81"/>
    </row>
    <row r="32" spans="1:32">
      <c r="A32" s="76" t="s">
        <v>766</v>
      </c>
      <c r="B32" s="79">
        <f>B27*2*0.75</f>
        <v>42675</v>
      </c>
      <c r="C32" s="79">
        <f t="shared" ref="C32:I32" si="47">C27*2*0.75</f>
        <v>48750</v>
      </c>
      <c r="D32" s="79">
        <f t="shared" si="47"/>
        <v>54825</v>
      </c>
      <c r="E32" s="79">
        <f t="shared" si="47"/>
        <v>60900</v>
      </c>
      <c r="F32" s="79">
        <f t="shared" si="47"/>
        <v>65775</v>
      </c>
      <c r="G32" s="79">
        <f t="shared" si="47"/>
        <v>70650</v>
      </c>
      <c r="H32" s="79">
        <f t="shared" si="47"/>
        <v>75525</v>
      </c>
      <c r="I32" s="79">
        <f t="shared" si="47"/>
        <v>80400</v>
      </c>
      <c r="J32" s="80">
        <f t="shared" si="38"/>
        <v>1066</v>
      </c>
      <c r="K32" s="80">
        <f t="shared" si="39"/>
        <v>1142</v>
      </c>
      <c r="L32" s="80">
        <f t="shared" si="40"/>
        <v>1370</v>
      </c>
      <c r="M32" s="80">
        <f t="shared" si="41"/>
        <v>1583</v>
      </c>
      <c r="N32" s="80">
        <f t="shared" si="42"/>
        <v>1766</v>
      </c>
      <c r="O32" s="80">
        <f t="shared" si="43"/>
        <v>1949</v>
      </c>
      <c r="P32" s="81"/>
      <c r="Q32" s="81"/>
      <c r="R32" s="81"/>
      <c r="S32" s="81"/>
      <c r="T32" s="81"/>
      <c r="U32" s="81"/>
      <c r="V32" s="81"/>
      <c r="W32" s="81"/>
      <c r="X32" s="81"/>
      <c r="Y32" s="81"/>
      <c r="Z32" s="81"/>
      <c r="AA32" s="81"/>
      <c r="AB32" s="81"/>
      <c r="AC32" s="81"/>
      <c r="AD32" s="81"/>
      <c r="AE32" s="81"/>
      <c r="AF32" s="81"/>
    </row>
    <row r="33" spans="1:32">
      <c r="A33" s="76" t="s">
        <v>767</v>
      </c>
      <c r="B33" s="79">
        <f>B27*2*0.8</f>
        <v>45520</v>
      </c>
      <c r="C33" s="79">
        <f t="shared" ref="C33:I33" si="48">C27*2*0.8</f>
        <v>52000</v>
      </c>
      <c r="D33" s="79">
        <f t="shared" si="48"/>
        <v>58480</v>
      </c>
      <c r="E33" s="79">
        <f t="shared" si="48"/>
        <v>64960</v>
      </c>
      <c r="F33" s="79">
        <f t="shared" si="48"/>
        <v>70160</v>
      </c>
      <c r="G33" s="79">
        <f t="shared" si="48"/>
        <v>75360</v>
      </c>
      <c r="H33" s="79">
        <f t="shared" si="48"/>
        <v>80560</v>
      </c>
      <c r="I33" s="79">
        <f t="shared" si="48"/>
        <v>85760</v>
      </c>
      <c r="J33" s="80">
        <f t="shared" si="38"/>
        <v>1138</v>
      </c>
      <c r="K33" s="80">
        <f t="shared" si="39"/>
        <v>1219</v>
      </c>
      <c r="L33" s="80">
        <f t="shared" si="40"/>
        <v>1462</v>
      </c>
      <c r="M33" s="80">
        <f t="shared" si="41"/>
        <v>1689</v>
      </c>
      <c r="N33" s="80">
        <f t="shared" si="42"/>
        <v>1884</v>
      </c>
      <c r="O33" s="80">
        <f t="shared" si="43"/>
        <v>2079</v>
      </c>
      <c r="P33" s="81"/>
      <c r="Q33" s="81"/>
      <c r="R33" s="81"/>
      <c r="S33" s="81"/>
      <c r="T33" s="81"/>
      <c r="U33" s="81"/>
      <c r="V33" s="81"/>
      <c r="W33" s="81"/>
      <c r="X33" s="81"/>
      <c r="Y33" s="81"/>
      <c r="Z33" s="81"/>
      <c r="AA33" s="81"/>
      <c r="AB33" s="81"/>
      <c r="AC33" s="81"/>
      <c r="AD33" s="81"/>
      <c r="AE33" s="81"/>
      <c r="AF33" s="81"/>
    </row>
    <row r="34" spans="1:32">
      <c r="A34" s="76" t="s">
        <v>768</v>
      </c>
      <c r="B34" s="79">
        <f>B27*2*0.9</f>
        <v>51210</v>
      </c>
      <c r="C34" s="79">
        <f t="shared" ref="C34:I34" si="49">C27*2*0.9</f>
        <v>58500</v>
      </c>
      <c r="D34" s="79">
        <f t="shared" si="49"/>
        <v>65790</v>
      </c>
      <c r="E34" s="79">
        <f t="shared" si="49"/>
        <v>73080</v>
      </c>
      <c r="F34" s="79">
        <f t="shared" si="49"/>
        <v>78930</v>
      </c>
      <c r="G34" s="79">
        <f t="shared" si="49"/>
        <v>84780</v>
      </c>
      <c r="H34" s="79">
        <f t="shared" si="49"/>
        <v>90630</v>
      </c>
      <c r="I34" s="79">
        <f t="shared" si="49"/>
        <v>96480</v>
      </c>
      <c r="J34" s="80">
        <f t="shared" si="38"/>
        <v>1280</v>
      </c>
      <c r="K34" s="80">
        <f t="shared" si="39"/>
        <v>1371</v>
      </c>
      <c r="L34" s="80">
        <f t="shared" si="40"/>
        <v>1644</v>
      </c>
      <c r="M34" s="80">
        <f t="shared" si="41"/>
        <v>1900</v>
      </c>
      <c r="N34" s="80">
        <f t="shared" si="42"/>
        <v>2119</v>
      </c>
      <c r="O34" s="80">
        <f t="shared" si="43"/>
        <v>2338</v>
      </c>
      <c r="P34" s="81"/>
      <c r="Q34" s="81"/>
      <c r="R34" s="81"/>
      <c r="S34" s="81"/>
      <c r="T34" s="81"/>
      <c r="U34" s="81"/>
      <c r="V34" s="81"/>
      <c r="W34" s="81"/>
      <c r="X34" s="81"/>
      <c r="Y34" s="81"/>
      <c r="Z34" s="81"/>
      <c r="AA34" s="81"/>
      <c r="AB34" s="81"/>
      <c r="AC34" s="81"/>
      <c r="AD34" s="81"/>
      <c r="AE34" s="81"/>
      <c r="AF34" s="81"/>
    </row>
    <row r="35" spans="1:32">
      <c r="A35" s="76" t="s">
        <v>769</v>
      </c>
      <c r="B35" s="79">
        <f>B27*2</f>
        <v>56900</v>
      </c>
      <c r="C35" s="79">
        <f t="shared" ref="C35:I35" si="50">C27*2</f>
        <v>65000</v>
      </c>
      <c r="D35" s="79">
        <f t="shared" si="50"/>
        <v>73100</v>
      </c>
      <c r="E35" s="79">
        <f t="shared" si="50"/>
        <v>81200</v>
      </c>
      <c r="F35" s="79">
        <f t="shared" si="50"/>
        <v>87700</v>
      </c>
      <c r="G35" s="79">
        <f t="shared" si="50"/>
        <v>94200</v>
      </c>
      <c r="H35" s="79">
        <f t="shared" si="50"/>
        <v>100700</v>
      </c>
      <c r="I35" s="79">
        <f t="shared" si="50"/>
        <v>107200</v>
      </c>
      <c r="J35" s="80">
        <f>J27*2</f>
        <v>1422</v>
      </c>
      <c r="K35" s="80">
        <f t="shared" ref="K35:O35" si="51">K27*2</f>
        <v>1522</v>
      </c>
      <c r="L35" s="80">
        <f t="shared" si="51"/>
        <v>1826</v>
      </c>
      <c r="M35" s="80">
        <f t="shared" si="51"/>
        <v>2110</v>
      </c>
      <c r="N35" s="80">
        <f t="shared" si="51"/>
        <v>2354</v>
      </c>
      <c r="O35" s="80">
        <f t="shared" si="51"/>
        <v>2598</v>
      </c>
      <c r="P35" s="81"/>
      <c r="Q35" s="81"/>
      <c r="R35" s="81"/>
      <c r="S35" s="81"/>
      <c r="T35" s="81"/>
      <c r="U35" s="81"/>
      <c r="V35" s="81"/>
      <c r="W35" s="81"/>
      <c r="X35" s="81"/>
      <c r="Y35" s="81"/>
      <c r="Z35" s="81"/>
      <c r="AA35" s="81"/>
      <c r="AB35" s="81"/>
      <c r="AC35" s="81"/>
      <c r="AD35" s="81"/>
      <c r="AE35" s="81"/>
      <c r="AF35" s="81"/>
    </row>
    <row r="36" spans="1:32">
      <c r="A36" s="76" t="s">
        <v>770</v>
      </c>
      <c r="B36" s="79">
        <f>B27*2*1.1</f>
        <v>62590.000000000007</v>
      </c>
      <c r="C36" s="79">
        <f t="shared" ref="C36:I36" si="52">C27*2*1.1</f>
        <v>71500</v>
      </c>
      <c r="D36" s="79">
        <f t="shared" si="52"/>
        <v>80410</v>
      </c>
      <c r="E36" s="79">
        <f t="shared" si="52"/>
        <v>89320</v>
      </c>
      <c r="F36" s="79">
        <f t="shared" si="52"/>
        <v>96470.000000000015</v>
      </c>
      <c r="G36" s="79">
        <f t="shared" si="52"/>
        <v>103620.00000000001</v>
      </c>
      <c r="H36" s="79">
        <f t="shared" si="52"/>
        <v>110770.00000000001</v>
      </c>
      <c r="I36" s="79">
        <f t="shared" si="52"/>
        <v>117920.00000000001</v>
      </c>
      <c r="J36" s="80">
        <f t="shared" ref="J36:J44" si="53">TRUNC(B36/12*0.3)</f>
        <v>1564</v>
      </c>
      <c r="K36" s="80">
        <f t="shared" ref="K36:K44" si="54">TRUNC((B36+C36)/2/12*0.3)</f>
        <v>1676</v>
      </c>
      <c r="L36" s="80">
        <f t="shared" ref="L36:L44" si="55">TRUNC((D36)/12*0.3)</f>
        <v>2010</v>
      </c>
      <c r="M36" s="80">
        <f t="shared" ref="M36:M44" si="56">TRUNC(((E36+F36)/2)/12*0.3)</f>
        <v>2322</v>
      </c>
      <c r="N36" s="80">
        <f t="shared" ref="N36:N44" si="57">TRUNC(G36/12*0.3)</f>
        <v>2590</v>
      </c>
      <c r="O36" s="80">
        <f t="shared" ref="O36:O44" si="58">TRUNC(((H36+I36)/2)/12*0.3)</f>
        <v>2858</v>
      </c>
      <c r="P36" s="81"/>
      <c r="Q36" s="81"/>
      <c r="R36" s="81"/>
      <c r="S36" s="81"/>
      <c r="T36" s="81"/>
      <c r="U36" s="81"/>
      <c r="V36" s="81"/>
      <c r="W36" s="81"/>
      <c r="X36" s="81"/>
      <c r="Y36" s="81"/>
      <c r="Z36" s="81"/>
      <c r="AA36" s="81"/>
      <c r="AB36" s="81"/>
      <c r="AC36" s="81"/>
      <c r="AD36" s="81"/>
      <c r="AE36" s="81"/>
      <c r="AF36" s="81"/>
    </row>
    <row r="37" spans="1:32">
      <c r="A37" s="76" t="s">
        <v>771</v>
      </c>
      <c r="B37" s="79">
        <f>B27*2*1.2</f>
        <v>68280</v>
      </c>
      <c r="C37" s="79">
        <f t="shared" ref="C37:I37" si="59">C27*2*1.2</f>
        <v>78000</v>
      </c>
      <c r="D37" s="79">
        <f t="shared" si="59"/>
        <v>87720</v>
      </c>
      <c r="E37" s="79">
        <f t="shared" si="59"/>
        <v>97440</v>
      </c>
      <c r="F37" s="79">
        <f t="shared" si="59"/>
        <v>105240</v>
      </c>
      <c r="G37" s="79">
        <f t="shared" si="59"/>
        <v>113040</v>
      </c>
      <c r="H37" s="79">
        <f t="shared" si="59"/>
        <v>120840</v>
      </c>
      <c r="I37" s="79">
        <f t="shared" si="59"/>
        <v>128640</v>
      </c>
      <c r="J37" s="80">
        <f t="shared" si="53"/>
        <v>1707</v>
      </c>
      <c r="K37" s="80">
        <f t="shared" si="54"/>
        <v>1828</v>
      </c>
      <c r="L37" s="80">
        <f t="shared" si="55"/>
        <v>2193</v>
      </c>
      <c r="M37" s="80">
        <f t="shared" si="56"/>
        <v>2533</v>
      </c>
      <c r="N37" s="80">
        <f t="shared" si="57"/>
        <v>2826</v>
      </c>
      <c r="O37" s="80">
        <f t="shared" si="58"/>
        <v>3118</v>
      </c>
      <c r="P37" s="81"/>
      <c r="Q37" s="81"/>
      <c r="R37" s="81"/>
      <c r="S37" s="81"/>
      <c r="T37" s="81"/>
      <c r="U37" s="81"/>
      <c r="V37" s="81"/>
      <c r="W37" s="81"/>
      <c r="X37" s="81"/>
      <c r="Y37" s="81"/>
      <c r="Z37" s="81"/>
      <c r="AA37" s="81"/>
      <c r="AB37" s="81"/>
      <c r="AC37" s="81"/>
      <c r="AD37" s="81"/>
      <c r="AE37" s="81"/>
      <c r="AF37" s="81"/>
    </row>
    <row r="38" spans="1:32">
      <c r="A38" s="76" t="s">
        <v>772</v>
      </c>
      <c r="B38" s="79">
        <f>B45*2*0.15</f>
        <v>8190</v>
      </c>
      <c r="C38" s="79">
        <f>C45*2*0.15</f>
        <v>9360</v>
      </c>
      <c r="D38" s="79">
        <f>D45*2*0.15</f>
        <v>10530</v>
      </c>
      <c r="E38" s="79">
        <f>E45*2*0.15</f>
        <v>11685</v>
      </c>
      <c r="F38" s="79">
        <f>F45*2*0.15</f>
        <v>12630</v>
      </c>
      <c r="G38" s="79">
        <f t="shared" ref="G38:I38" si="60">G45*2*0.15</f>
        <v>13560</v>
      </c>
      <c r="H38" s="79">
        <f t="shared" si="60"/>
        <v>14490</v>
      </c>
      <c r="I38" s="79">
        <f t="shared" si="60"/>
        <v>15435</v>
      </c>
      <c r="J38" s="80">
        <f t="shared" si="53"/>
        <v>204</v>
      </c>
      <c r="K38" s="80">
        <f t="shared" si="54"/>
        <v>219</v>
      </c>
      <c r="L38" s="80">
        <f t="shared" si="55"/>
        <v>263</v>
      </c>
      <c r="M38" s="80">
        <f t="shared" si="56"/>
        <v>303</v>
      </c>
      <c r="N38" s="80">
        <f t="shared" si="57"/>
        <v>339</v>
      </c>
      <c r="O38" s="80">
        <f t="shared" si="58"/>
        <v>374</v>
      </c>
      <c r="P38" s="81"/>
      <c r="Q38" s="81"/>
      <c r="R38" s="81"/>
      <c r="S38" s="81"/>
      <c r="T38" s="81"/>
      <c r="U38" s="81"/>
      <c r="V38" s="81"/>
      <c r="W38" s="81"/>
      <c r="X38" s="81"/>
      <c r="Y38" s="81"/>
      <c r="Z38" s="81"/>
      <c r="AA38" s="81"/>
      <c r="AB38" s="81"/>
      <c r="AC38" s="81"/>
      <c r="AD38" s="81"/>
      <c r="AE38" s="81"/>
      <c r="AF38" s="81"/>
    </row>
    <row r="39" spans="1:32">
      <c r="A39" s="76" t="s">
        <v>773</v>
      </c>
      <c r="B39" s="79">
        <f>B45*2*0.2</f>
        <v>10920</v>
      </c>
      <c r="C39" s="79">
        <f t="shared" ref="C39:I39" si="61">C45*2*0.2</f>
        <v>12480</v>
      </c>
      <c r="D39" s="79">
        <f t="shared" si="61"/>
        <v>14040</v>
      </c>
      <c r="E39" s="79">
        <f t="shared" si="61"/>
        <v>15580</v>
      </c>
      <c r="F39" s="79">
        <f t="shared" si="61"/>
        <v>16840</v>
      </c>
      <c r="G39" s="79">
        <f t="shared" si="61"/>
        <v>18080</v>
      </c>
      <c r="H39" s="79">
        <f t="shared" si="61"/>
        <v>19320</v>
      </c>
      <c r="I39" s="79">
        <f t="shared" si="61"/>
        <v>20580</v>
      </c>
      <c r="J39" s="80">
        <f t="shared" si="53"/>
        <v>273</v>
      </c>
      <c r="K39" s="80">
        <f t="shared" si="54"/>
        <v>292</v>
      </c>
      <c r="L39" s="80">
        <f t="shared" si="55"/>
        <v>351</v>
      </c>
      <c r="M39" s="80">
        <f t="shared" si="56"/>
        <v>405</v>
      </c>
      <c r="N39" s="80">
        <f t="shared" si="57"/>
        <v>452</v>
      </c>
      <c r="O39" s="80">
        <f t="shared" si="58"/>
        <v>498</v>
      </c>
      <c r="P39" s="81"/>
      <c r="Q39" s="81"/>
      <c r="R39" s="81"/>
      <c r="S39" s="81"/>
      <c r="T39" s="81"/>
      <c r="U39" s="81"/>
      <c r="V39" s="81"/>
      <c r="W39" s="81"/>
      <c r="X39" s="81"/>
      <c r="Y39" s="81"/>
      <c r="Z39" s="81"/>
      <c r="AA39" s="81"/>
      <c r="AB39" s="81"/>
      <c r="AC39" s="81"/>
      <c r="AD39" s="81"/>
      <c r="AE39" s="81"/>
      <c r="AF39" s="81"/>
    </row>
    <row r="40" spans="1:32">
      <c r="A40" s="76" t="s">
        <v>774</v>
      </c>
      <c r="B40" s="79">
        <f>B45*2*0.25</f>
        <v>13650</v>
      </c>
      <c r="C40" s="79">
        <f t="shared" ref="C40:I40" si="62">C45*2*0.25</f>
        <v>15600</v>
      </c>
      <c r="D40" s="79">
        <f t="shared" si="62"/>
        <v>17550</v>
      </c>
      <c r="E40" s="79">
        <f t="shared" si="62"/>
        <v>19475</v>
      </c>
      <c r="F40" s="79">
        <f t="shared" si="62"/>
        <v>21050</v>
      </c>
      <c r="G40" s="79">
        <f t="shared" si="62"/>
        <v>22600</v>
      </c>
      <c r="H40" s="79">
        <f t="shared" si="62"/>
        <v>24150</v>
      </c>
      <c r="I40" s="79">
        <f t="shared" si="62"/>
        <v>25725</v>
      </c>
      <c r="J40" s="80">
        <f t="shared" si="53"/>
        <v>341</v>
      </c>
      <c r="K40" s="80">
        <f t="shared" si="54"/>
        <v>365</v>
      </c>
      <c r="L40" s="80">
        <f t="shared" si="55"/>
        <v>438</v>
      </c>
      <c r="M40" s="80">
        <f t="shared" si="56"/>
        <v>506</v>
      </c>
      <c r="N40" s="80">
        <f t="shared" si="57"/>
        <v>565</v>
      </c>
      <c r="O40" s="80">
        <f t="shared" si="58"/>
        <v>623</v>
      </c>
      <c r="P40" s="81"/>
      <c r="Q40" s="81"/>
      <c r="R40" s="81"/>
      <c r="S40" s="81"/>
      <c r="T40" s="81"/>
      <c r="U40" s="81"/>
      <c r="V40" s="81"/>
      <c r="W40" s="81"/>
      <c r="X40" s="81"/>
      <c r="Y40" s="81"/>
      <c r="Z40" s="81"/>
      <c r="AA40" s="81"/>
      <c r="AB40" s="81"/>
      <c r="AC40" s="81"/>
      <c r="AD40" s="81"/>
      <c r="AE40" s="81"/>
      <c r="AF40" s="81"/>
    </row>
    <row r="41" spans="1:32">
      <c r="A41" s="76" t="s">
        <v>775</v>
      </c>
      <c r="B41" s="79">
        <f>B45*2*0.3</f>
        <v>16380</v>
      </c>
      <c r="C41" s="79">
        <f t="shared" ref="C41:I41" si="63">C45*2*0.3</f>
        <v>18720</v>
      </c>
      <c r="D41" s="79">
        <f t="shared" si="63"/>
        <v>21060</v>
      </c>
      <c r="E41" s="79">
        <f t="shared" si="63"/>
        <v>23370</v>
      </c>
      <c r="F41" s="79">
        <f t="shared" si="63"/>
        <v>25260</v>
      </c>
      <c r="G41" s="79">
        <f t="shared" si="63"/>
        <v>27120</v>
      </c>
      <c r="H41" s="79">
        <f t="shared" si="63"/>
        <v>28980</v>
      </c>
      <c r="I41" s="79">
        <f t="shared" si="63"/>
        <v>30870</v>
      </c>
      <c r="J41" s="80">
        <f t="shared" si="53"/>
        <v>409</v>
      </c>
      <c r="K41" s="80">
        <f t="shared" si="54"/>
        <v>438</v>
      </c>
      <c r="L41" s="80">
        <f t="shared" si="55"/>
        <v>526</v>
      </c>
      <c r="M41" s="80">
        <f t="shared" si="56"/>
        <v>607</v>
      </c>
      <c r="N41" s="80">
        <f t="shared" si="57"/>
        <v>678</v>
      </c>
      <c r="O41" s="80">
        <f t="shared" si="58"/>
        <v>748</v>
      </c>
      <c r="P41" s="81"/>
      <c r="Q41" s="81"/>
      <c r="R41" s="81"/>
      <c r="S41" s="81"/>
      <c r="T41" s="81"/>
      <c r="U41" s="81"/>
      <c r="V41" s="81"/>
      <c r="W41" s="81"/>
      <c r="X41" s="81"/>
      <c r="Y41" s="81"/>
      <c r="Z41" s="81"/>
      <c r="AA41" s="81"/>
      <c r="AB41" s="81"/>
      <c r="AC41" s="81"/>
      <c r="AD41" s="81"/>
      <c r="AE41" s="81"/>
      <c r="AF41" s="81"/>
    </row>
    <row r="42" spans="1:32">
      <c r="A42" s="76" t="s">
        <v>776</v>
      </c>
      <c r="B42" s="79">
        <f>B45*2*0.35</f>
        <v>19110</v>
      </c>
      <c r="C42" s="79">
        <f t="shared" ref="C42:I42" si="64">C45*2*0.35</f>
        <v>21840</v>
      </c>
      <c r="D42" s="79">
        <f t="shared" si="64"/>
        <v>24570</v>
      </c>
      <c r="E42" s="79">
        <f t="shared" si="64"/>
        <v>27265</v>
      </c>
      <c r="F42" s="79">
        <f t="shared" si="64"/>
        <v>29469.999999999996</v>
      </c>
      <c r="G42" s="79">
        <f t="shared" si="64"/>
        <v>31639.999999999996</v>
      </c>
      <c r="H42" s="79">
        <f t="shared" si="64"/>
        <v>33810</v>
      </c>
      <c r="I42" s="79">
        <f t="shared" si="64"/>
        <v>36015</v>
      </c>
      <c r="J42" s="80">
        <f t="shared" si="53"/>
        <v>477</v>
      </c>
      <c r="K42" s="80">
        <f t="shared" si="54"/>
        <v>511</v>
      </c>
      <c r="L42" s="80">
        <f t="shared" si="55"/>
        <v>614</v>
      </c>
      <c r="M42" s="80">
        <f t="shared" si="56"/>
        <v>709</v>
      </c>
      <c r="N42" s="80">
        <f t="shared" si="57"/>
        <v>791</v>
      </c>
      <c r="O42" s="80">
        <f t="shared" si="58"/>
        <v>872</v>
      </c>
      <c r="P42" s="81"/>
      <c r="Q42" s="81"/>
      <c r="R42" s="81"/>
      <c r="S42" s="81"/>
      <c r="T42" s="81"/>
      <c r="U42" s="81"/>
      <c r="V42" s="81"/>
      <c r="W42" s="81"/>
      <c r="X42" s="81"/>
      <c r="Y42" s="81"/>
      <c r="Z42" s="81"/>
      <c r="AA42" s="81"/>
      <c r="AB42" s="81"/>
      <c r="AC42" s="81"/>
      <c r="AD42" s="81"/>
      <c r="AE42" s="81"/>
      <c r="AF42" s="81"/>
    </row>
    <row r="43" spans="1:32">
      <c r="A43" s="76" t="s">
        <v>777</v>
      </c>
      <c r="B43" s="79">
        <f>B45*2*0.4</f>
        <v>21840</v>
      </c>
      <c r="C43" s="79">
        <f t="shared" ref="C43:I43" si="65">C45*2*0.4</f>
        <v>24960</v>
      </c>
      <c r="D43" s="79">
        <f t="shared" si="65"/>
        <v>28080</v>
      </c>
      <c r="E43" s="79">
        <f t="shared" si="65"/>
        <v>31160</v>
      </c>
      <c r="F43" s="79">
        <f t="shared" si="65"/>
        <v>33680</v>
      </c>
      <c r="G43" s="79">
        <f t="shared" si="65"/>
        <v>36160</v>
      </c>
      <c r="H43" s="79">
        <f t="shared" si="65"/>
        <v>38640</v>
      </c>
      <c r="I43" s="79">
        <f t="shared" si="65"/>
        <v>41160</v>
      </c>
      <c r="J43" s="80">
        <f t="shared" si="53"/>
        <v>546</v>
      </c>
      <c r="K43" s="80">
        <f t="shared" si="54"/>
        <v>585</v>
      </c>
      <c r="L43" s="80">
        <f t="shared" si="55"/>
        <v>702</v>
      </c>
      <c r="M43" s="80">
        <f t="shared" si="56"/>
        <v>810</v>
      </c>
      <c r="N43" s="80">
        <f t="shared" si="57"/>
        <v>904</v>
      </c>
      <c r="O43" s="80">
        <f t="shared" si="58"/>
        <v>997</v>
      </c>
      <c r="P43" s="81"/>
      <c r="Q43" s="81"/>
      <c r="R43" s="81"/>
      <c r="S43" s="81"/>
      <c r="T43" s="81"/>
      <c r="U43" s="81"/>
      <c r="V43" s="81"/>
      <c r="W43" s="81"/>
      <c r="X43" s="81"/>
      <c r="Y43" s="81"/>
      <c r="Z43" s="81"/>
      <c r="AA43" s="81"/>
      <c r="AB43" s="81"/>
      <c r="AC43" s="81"/>
      <c r="AD43" s="81"/>
      <c r="AE43" s="81"/>
      <c r="AF43" s="81"/>
    </row>
    <row r="44" spans="1:32">
      <c r="A44" s="76" t="s">
        <v>778</v>
      </c>
      <c r="B44" s="79">
        <f>B45*2*0.45</f>
        <v>24570</v>
      </c>
      <c r="C44" s="79">
        <f t="shared" ref="C44:I44" si="66">C45*2*0.45</f>
        <v>28080</v>
      </c>
      <c r="D44" s="79">
        <f t="shared" si="66"/>
        <v>31590</v>
      </c>
      <c r="E44" s="79">
        <f t="shared" si="66"/>
        <v>35055</v>
      </c>
      <c r="F44" s="79">
        <f t="shared" si="66"/>
        <v>37890</v>
      </c>
      <c r="G44" s="79">
        <f t="shared" si="66"/>
        <v>40680</v>
      </c>
      <c r="H44" s="79">
        <f t="shared" si="66"/>
        <v>43470</v>
      </c>
      <c r="I44" s="79">
        <f t="shared" si="66"/>
        <v>46305</v>
      </c>
      <c r="J44" s="80">
        <f t="shared" si="53"/>
        <v>614</v>
      </c>
      <c r="K44" s="80">
        <f t="shared" si="54"/>
        <v>658</v>
      </c>
      <c r="L44" s="80">
        <f t="shared" si="55"/>
        <v>789</v>
      </c>
      <c r="M44" s="80">
        <f t="shared" si="56"/>
        <v>911</v>
      </c>
      <c r="N44" s="80">
        <f t="shared" si="57"/>
        <v>1017</v>
      </c>
      <c r="O44" s="80">
        <f t="shared" si="58"/>
        <v>1122</v>
      </c>
      <c r="P44" s="81"/>
      <c r="Q44" s="81"/>
      <c r="R44" s="81"/>
      <c r="S44" s="81"/>
      <c r="T44" s="81"/>
      <c r="U44" s="81"/>
      <c r="V44" s="81"/>
      <c r="W44" s="81"/>
      <c r="X44" s="81"/>
      <c r="Y44" s="81"/>
      <c r="Z44" s="81"/>
      <c r="AA44" s="81"/>
      <c r="AB44" s="81"/>
      <c r="AC44" s="81"/>
      <c r="AD44" s="81"/>
      <c r="AE44" s="81"/>
      <c r="AF44" s="81"/>
    </row>
    <row r="45" spans="1:32">
      <c r="A45" s="82" t="s">
        <v>779</v>
      </c>
      <c r="B45" s="84">
        <f>'MTSP 50% Income Limits '!B4</f>
        <v>27300</v>
      </c>
      <c r="C45" s="84">
        <f>'MTSP 50% Income Limits '!C4</f>
        <v>31200</v>
      </c>
      <c r="D45" s="84">
        <f>'MTSP 50% Income Limits '!D4</f>
        <v>35100</v>
      </c>
      <c r="E45" s="84">
        <f>'MTSP 50% Income Limits '!E4</f>
        <v>38950</v>
      </c>
      <c r="F45" s="84">
        <f>'MTSP 50% Income Limits '!F4</f>
        <v>42100</v>
      </c>
      <c r="G45" s="84">
        <f>'MTSP 50% Income Limits '!G4</f>
        <v>45200</v>
      </c>
      <c r="H45" s="84">
        <f>'MTSP 50% Income Limits '!H4</f>
        <v>48300</v>
      </c>
      <c r="I45" s="84">
        <f>'MTSP 50% Income Limits '!I4</f>
        <v>51450</v>
      </c>
      <c r="J45" s="83">
        <f>TRUNC(B45/12*0.3)</f>
        <v>682</v>
      </c>
      <c r="K45" s="83">
        <f>TRUNC((B45+C45)/2/12*0.3)</f>
        <v>731</v>
      </c>
      <c r="L45" s="83">
        <f>TRUNC((D45)/12*0.3)</f>
        <v>877</v>
      </c>
      <c r="M45" s="83">
        <f>TRUNC(((E45+F45)/2)/12*0.3)</f>
        <v>1013</v>
      </c>
      <c r="N45" s="83">
        <f>TRUNC(G45/12*0.3)</f>
        <v>1130</v>
      </c>
      <c r="O45" s="83">
        <f>TRUNC(((H45+I45)/2)/12*0.3)</f>
        <v>1246</v>
      </c>
      <c r="P45" s="81"/>
      <c r="Q45" s="81"/>
      <c r="R45" s="81"/>
      <c r="S45" s="81"/>
      <c r="T45" s="81"/>
      <c r="U45" s="81"/>
      <c r="V45" s="81"/>
      <c r="W45" s="81"/>
      <c r="X45" s="81"/>
      <c r="Y45" s="81"/>
      <c r="Z45" s="81"/>
      <c r="AA45" s="81"/>
      <c r="AB45" s="81"/>
      <c r="AC45" s="81"/>
      <c r="AD45" s="81"/>
      <c r="AE45" s="81"/>
      <c r="AF45" s="81"/>
    </row>
    <row r="46" spans="1:32">
      <c r="A46" s="76" t="s">
        <v>780</v>
      </c>
      <c r="B46" s="79">
        <f>B45*2*0.55</f>
        <v>30030.000000000004</v>
      </c>
      <c r="C46" s="79">
        <f t="shared" ref="C46:I46" si="67">C45*2*0.55</f>
        <v>34320</v>
      </c>
      <c r="D46" s="79">
        <f t="shared" si="67"/>
        <v>38610</v>
      </c>
      <c r="E46" s="79">
        <f t="shared" si="67"/>
        <v>42845</v>
      </c>
      <c r="F46" s="79">
        <f t="shared" si="67"/>
        <v>46310.000000000007</v>
      </c>
      <c r="G46" s="79">
        <f t="shared" si="67"/>
        <v>49720.000000000007</v>
      </c>
      <c r="H46" s="79">
        <f t="shared" si="67"/>
        <v>53130.000000000007</v>
      </c>
      <c r="I46" s="79">
        <f t="shared" si="67"/>
        <v>56595.000000000007</v>
      </c>
      <c r="J46" s="80">
        <f t="shared" ref="J46:J52" si="68">TRUNC(B46/12*0.3)</f>
        <v>750</v>
      </c>
      <c r="K46" s="80">
        <f t="shared" ref="K46:K52" si="69">TRUNC((B46+C46)/2/12*0.3)</f>
        <v>804</v>
      </c>
      <c r="L46" s="80">
        <f t="shared" ref="L46:L52" si="70">TRUNC((D46)/12*0.3)</f>
        <v>965</v>
      </c>
      <c r="M46" s="80">
        <f t="shared" ref="M46:M52" si="71">TRUNC(((E46+F46)/2)/12*0.3)</f>
        <v>1114</v>
      </c>
      <c r="N46" s="80">
        <f t="shared" ref="N46:N52" si="72">TRUNC(G46/12*0.3)</f>
        <v>1243</v>
      </c>
      <c r="O46" s="80">
        <f t="shared" ref="O46:O52" si="73">TRUNC(((H46+I46)/2)/12*0.3)</f>
        <v>1371</v>
      </c>
      <c r="P46" s="81"/>
      <c r="Q46" s="81"/>
      <c r="R46" s="81"/>
      <c r="S46" s="81"/>
      <c r="T46" s="81"/>
      <c r="U46" s="81"/>
      <c r="V46" s="81"/>
      <c r="W46" s="81"/>
      <c r="X46" s="81"/>
      <c r="Y46" s="81"/>
      <c r="Z46" s="81"/>
      <c r="AA46" s="81"/>
      <c r="AB46" s="81"/>
      <c r="AC46" s="81"/>
      <c r="AD46" s="81"/>
      <c r="AE46" s="81"/>
      <c r="AF46" s="81"/>
    </row>
    <row r="47" spans="1:32">
      <c r="A47" s="76" t="s">
        <v>781</v>
      </c>
      <c r="B47" s="79">
        <f>B45*2*0.6</f>
        <v>32760</v>
      </c>
      <c r="C47" s="79">
        <f t="shared" ref="C47:I47" si="74">C45*2*0.6</f>
        <v>37440</v>
      </c>
      <c r="D47" s="79">
        <f t="shared" si="74"/>
        <v>42120</v>
      </c>
      <c r="E47" s="79">
        <f t="shared" si="74"/>
        <v>46740</v>
      </c>
      <c r="F47" s="79">
        <f t="shared" si="74"/>
        <v>50520</v>
      </c>
      <c r="G47" s="79">
        <f t="shared" si="74"/>
        <v>54240</v>
      </c>
      <c r="H47" s="79">
        <f t="shared" si="74"/>
        <v>57960</v>
      </c>
      <c r="I47" s="79">
        <f t="shared" si="74"/>
        <v>61740</v>
      </c>
      <c r="J47" s="80">
        <f t="shared" si="68"/>
        <v>819</v>
      </c>
      <c r="K47" s="80">
        <f t="shared" si="69"/>
        <v>877</v>
      </c>
      <c r="L47" s="80">
        <f t="shared" si="70"/>
        <v>1053</v>
      </c>
      <c r="M47" s="80">
        <f t="shared" si="71"/>
        <v>1215</v>
      </c>
      <c r="N47" s="80">
        <f t="shared" si="72"/>
        <v>1356</v>
      </c>
      <c r="O47" s="80">
        <f t="shared" si="73"/>
        <v>1496</v>
      </c>
      <c r="P47" s="81"/>
      <c r="Q47" s="81"/>
      <c r="R47" s="81"/>
      <c r="S47" s="81"/>
      <c r="T47" s="81"/>
      <c r="U47" s="81"/>
      <c r="V47" s="81"/>
      <c r="W47" s="81"/>
      <c r="X47" s="81"/>
      <c r="Y47" s="81"/>
      <c r="Z47" s="81"/>
      <c r="AA47" s="81"/>
      <c r="AB47" s="81"/>
      <c r="AC47" s="81"/>
      <c r="AD47" s="81"/>
      <c r="AE47" s="81"/>
      <c r="AF47" s="81"/>
    </row>
    <row r="48" spans="1:32">
      <c r="A48" s="76" t="s">
        <v>782</v>
      </c>
      <c r="B48" s="79">
        <f>B45*2*0.65</f>
        <v>35490</v>
      </c>
      <c r="C48" s="79">
        <f t="shared" ref="C48:I48" si="75">C45*2*0.65</f>
        <v>40560</v>
      </c>
      <c r="D48" s="79">
        <f t="shared" si="75"/>
        <v>45630</v>
      </c>
      <c r="E48" s="79">
        <f t="shared" si="75"/>
        <v>50635</v>
      </c>
      <c r="F48" s="79">
        <f t="shared" si="75"/>
        <v>54730</v>
      </c>
      <c r="G48" s="79">
        <f t="shared" si="75"/>
        <v>58760</v>
      </c>
      <c r="H48" s="79">
        <f t="shared" si="75"/>
        <v>62790</v>
      </c>
      <c r="I48" s="79">
        <f t="shared" si="75"/>
        <v>66885</v>
      </c>
      <c r="J48" s="80">
        <f t="shared" si="68"/>
        <v>887</v>
      </c>
      <c r="K48" s="80">
        <f t="shared" si="69"/>
        <v>950</v>
      </c>
      <c r="L48" s="80">
        <f t="shared" si="70"/>
        <v>1140</v>
      </c>
      <c r="M48" s="80">
        <f t="shared" si="71"/>
        <v>1317</v>
      </c>
      <c r="N48" s="80">
        <f t="shared" si="72"/>
        <v>1469</v>
      </c>
      <c r="O48" s="80">
        <f t="shared" si="73"/>
        <v>1620</v>
      </c>
      <c r="P48" s="81"/>
      <c r="Q48" s="81"/>
      <c r="R48" s="81"/>
      <c r="S48" s="81"/>
      <c r="T48" s="81"/>
      <c r="U48" s="81"/>
      <c r="V48" s="81"/>
      <c r="W48" s="81"/>
      <c r="X48" s="81"/>
      <c r="Y48" s="81"/>
      <c r="Z48" s="81"/>
      <c r="AA48" s="81"/>
      <c r="AB48" s="81"/>
      <c r="AC48" s="81"/>
      <c r="AD48" s="81"/>
      <c r="AE48" s="81"/>
      <c r="AF48" s="81"/>
    </row>
    <row r="49" spans="1:32">
      <c r="A49" s="76" t="s">
        <v>783</v>
      </c>
      <c r="B49" s="79">
        <f>B45*2*0.7</f>
        <v>38220</v>
      </c>
      <c r="C49" s="79">
        <f t="shared" ref="C49:I49" si="76">C45*2*0.7</f>
        <v>43680</v>
      </c>
      <c r="D49" s="79">
        <f t="shared" si="76"/>
        <v>49140</v>
      </c>
      <c r="E49" s="79">
        <f t="shared" si="76"/>
        <v>54530</v>
      </c>
      <c r="F49" s="79">
        <f t="shared" si="76"/>
        <v>58939.999999999993</v>
      </c>
      <c r="G49" s="79">
        <f t="shared" si="76"/>
        <v>63279.999999999993</v>
      </c>
      <c r="H49" s="79">
        <f t="shared" si="76"/>
        <v>67620</v>
      </c>
      <c r="I49" s="79">
        <f t="shared" si="76"/>
        <v>72030</v>
      </c>
      <c r="J49" s="80">
        <f t="shared" si="68"/>
        <v>955</v>
      </c>
      <c r="K49" s="80">
        <f t="shared" si="69"/>
        <v>1023</v>
      </c>
      <c r="L49" s="80">
        <f t="shared" si="70"/>
        <v>1228</v>
      </c>
      <c r="M49" s="80">
        <f t="shared" si="71"/>
        <v>1418</v>
      </c>
      <c r="N49" s="80">
        <f t="shared" si="72"/>
        <v>1582</v>
      </c>
      <c r="O49" s="80">
        <f t="shared" si="73"/>
        <v>1745</v>
      </c>
      <c r="P49" s="81"/>
      <c r="Q49" s="81"/>
      <c r="R49" s="81"/>
      <c r="S49" s="81"/>
      <c r="T49" s="81"/>
      <c r="U49" s="81"/>
      <c r="V49" s="81"/>
      <c r="W49" s="81"/>
      <c r="X49" s="81"/>
      <c r="Y49" s="81"/>
      <c r="Z49" s="81"/>
      <c r="AA49" s="81"/>
      <c r="AB49" s="81"/>
      <c r="AC49" s="81"/>
      <c r="AD49" s="81"/>
      <c r="AE49" s="81"/>
      <c r="AF49" s="81"/>
    </row>
    <row r="50" spans="1:32">
      <c r="A50" s="76" t="s">
        <v>784</v>
      </c>
      <c r="B50" s="79">
        <f>B45*2*0.75</f>
        <v>40950</v>
      </c>
      <c r="C50" s="79">
        <f t="shared" ref="C50:I50" si="77">C45*2*0.75</f>
        <v>46800</v>
      </c>
      <c r="D50" s="79">
        <f t="shared" si="77"/>
        <v>52650</v>
      </c>
      <c r="E50" s="79">
        <f t="shared" si="77"/>
        <v>58425</v>
      </c>
      <c r="F50" s="79">
        <f t="shared" si="77"/>
        <v>63150</v>
      </c>
      <c r="G50" s="79">
        <f t="shared" si="77"/>
        <v>67800</v>
      </c>
      <c r="H50" s="79">
        <f t="shared" si="77"/>
        <v>72450</v>
      </c>
      <c r="I50" s="79">
        <f t="shared" si="77"/>
        <v>77175</v>
      </c>
      <c r="J50" s="80">
        <f t="shared" si="68"/>
        <v>1023</v>
      </c>
      <c r="K50" s="80">
        <f t="shared" si="69"/>
        <v>1096</v>
      </c>
      <c r="L50" s="80">
        <f t="shared" si="70"/>
        <v>1316</v>
      </c>
      <c r="M50" s="80">
        <f t="shared" si="71"/>
        <v>1519</v>
      </c>
      <c r="N50" s="80">
        <f t="shared" si="72"/>
        <v>1695</v>
      </c>
      <c r="O50" s="80">
        <f t="shared" si="73"/>
        <v>1870</v>
      </c>
      <c r="P50" s="81"/>
      <c r="Q50" s="81"/>
      <c r="R50" s="81"/>
      <c r="S50" s="81"/>
      <c r="T50" s="81"/>
      <c r="U50" s="81"/>
      <c r="V50" s="81"/>
      <c r="W50" s="81"/>
      <c r="X50" s="81"/>
      <c r="Y50" s="81"/>
      <c r="Z50" s="81"/>
      <c r="AA50" s="81"/>
      <c r="AB50" s="81"/>
      <c r="AC50" s="81"/>
      <c r="AD50" s="81"/>
      <c r="AE50" s="81"/>
      <c r="AF50" s="81"/>
    </row>
    <row r="51" spans="1:32">
      <c r="A51" s="76" t="s">
        <v>785</v>
      </c>
      <c r="B51" s="79">
        <f>B45*2*0.8</f>
        <v>43680</v>
      </c>
      <c r="C51" s="79">
        <f t="shared" ref="C51:I51" si="78">C45*2*0.8</f>
        <v>49920</v>
      </c>
      <c r="D51" s="79">
        <f t="shared" si="78"/>
        <v>56160</v>
      </c>
      <c r="E51" s="79">
        <f t="shared" si="78"/>
        <v>62320</v>
      </c>
      <c r="F51" s="79">
        <f t="shared" si="78"/>
        <v>67360</v>
      </c>
      <c r="G51" s="79">
        <f t="shared" si="78"/>
        <v>72320</v>
      </c>
      <c r="H51" s="79">
        <f t="shared" si="78"/>
        <v>77280</v>
      </c>
      <c r="I51" s="79">
        <f t="shared" si="78"/>
        <v>82320</v>
      </c>
      <c r="J51" s="80">
        <f t="shared" si="68"/>
        <v>1092</v>
      </c>
      <c r="K51" s="80">
        <f t="shared" si="69"/>
        <v>1170</v>
      </c>
      <c r="L51" s="80">
        <f t="shared" si="70"/>
        <v>1404</v>
      </c>
      <c r="M51" s="80">
        <f t="shared" si="71"/>
        <v>1621</v>
      </c>
      <c r="N51" s="80">
        <f t="shared" si="72"/>
        <v>1808</v>
      </c>
      <c r="O51" s="80">
        <f t="shared" si="73"/>
        <v>1995</v>
      </c>
      <c r="P51" s="81"/>
      <c r="Q51" s="81"/>
      <c r="R51" s="81"/>
      <c r="S51" s="81"/>
      <c r="T51" s="81"/>
      <c r="U51" s="81"/>
      <c r="V51" s="81"/>
      <c r="W51" s="81"/>
      <c r="X51" s="81"/>
      <c r="Y51" s="81"/>
      <c r="Z51" s="81"/>
      <c r="AA51" s="81"/>
      <c r="AB51" s="81"/>
      <c r="AC51" s="81"/>
      <c r="AD51" s="81"/>
      <c r="AE51" s="81"/>
      <c r="AF51" s="81"/>
    </row>
    <row r="52" spans="1:32">
      <c r="A52" s="76" t="s">
        <v>786</v>
      </c>
      <c r="B52" s="79">
        <f>B45*2*0.9</f>
        <v>49140</v>
      </c>
      <c r="C52" s="79">
        <f t="shared" ref="C52:I52" si="79">C45*2*0.9</f>
        <v>56160</v>
      </c>
      <c r="D52" s="79">
        <f t="shared" si="79"/>
        <v>63180</v>
      </c>
      <c r="E52" s="79">
        <f t="shared" si="79"/>
        <v>70110</v>
      </c>
      <c r="F52" s="79">
        <f t="shared" si="79"/>
        <v>75780</v>
      </c>
      <c r="G52" s="79">
        <f t="shared" si="79"/>
        <v>81360</v>
      </c>
      <c r="H52" s="79">
        <f t="shared" si="79"/>
        <v>86940</v>
      </c>
      <c r="I52" s="79">
        <f t="shared" si="79"/>
        <v>92610</v>
      </c>
      <c r="J52" s="80">
        <f t="shared" si="68"/>
        <v>1228</v>
      </c>
      <c r="K52" s="80">
        <f t="shared" si="69"/>
        <v>1316</v>
      </c>
      <c r="L52" s="80">
        <f t="shared" si="70"/>
        <v>1579</v>
      </c>
      <c r="M52" s="80">
        <f t="shared" si="71"/>
        <v>1823</v>
      </c>
      <c r="N52" s="80">
        <f t="shared" si="72"/>
        <v>2034</v>
      </c>
      <c r="O52" s="80">
        <f t="shared" si="73"/>
        <v>2244</v>
      </c>
      <c r="P52" s="81"/>
      <c r="Q52" s="81"/>
      <c r="R52" s="81"/>
      <c r="S52" s="81"/>
      <c r="T52" s="81"/>
      <c r="U52" s="81"/>
      <c r="V52" s="81"/>
      <c r="W52" s="81"/>
      <c r="X52" s="81"/>
      <c r="Y52" s="81"/>
      <c r="Z52" s="81"/>
      <c r="AA52" s="81"/>
      <c r="AB52" s="81"/>
      <c r="AC52" s="81"/>
      <c r="AD52" s="81"/>
      <c r="AE52" s="81"/>
      <c r="AF52" s="81"/>
    </row>
    <row r="53" spans="1:32">
      <c r="A53" s="76" t="s">
        <v>787</v>
      </c>
      <c r="B53" s="79">
        <f>B45*2</f>
        <v>54600</v>
      </c>
      <c r="C53" s="79">
        <f t="shared" ref="C53:I53" si="80">C45*2</f>
        <v>62400</v>
      </c>
      <c r="D53" s="79">
        <f t="shared" si="80"/>
        <v>70200</v>
      </c>
      <c r="E53" s="79">
        <f t="shared" si="80"/>
        <v>77900</v>
      </c>
      <c r="F53" s="79">
        <f t="shared" si="80"/>
        <v>84200</v>
      </c>
      <c r="G53" s="79">
        <f t="shared" si="80"/>
        <v>90400</v>
      </c>
      <c r="H53" s="79">
        <f t="shared" si="80"/>
        <v>96600</v>
      </c>
      <c r="I53" s="79">
        <f t="shared" si="80"/>
        <v>102900</v>
      </c>
      <c r="J53" s="80">
        <f>J45*2</f>
        <v>1364</v>
      </c>
      <c r="K53" s="80">
        <f t="shared" ref="K53:O53" si="81">K45*2</f>
        <v>1462</v>
      </c>
      <c r="L53" s="80">
        <f t="shared" si="81"/>
        <v>1754</v>
      </c>
      <c r="M53" s="80">
        <f t="shared" si="81"/>
        <v>2026</v>
      </c>
      <c r="N53" s="80">
        <f t="shared" si="81"/>
        <v>2260</v>
      </c>
      <c r="O53" s="80">
        <f t="shared" si="81"/>
        <v>2492</v>
      </c>
      <c r="P53" s="81"/>
      <c r="Q53" s="81"/>
      <c r="R53" s="81"/>
      <c r="S53" s="81"/>
      <c r="T53" s="81"/>
      <c r="U53" s="81"/>
      <c r="V53" s="81"/>
      <c r="W53" s="81"/>
      <c r="X53" s="81"/>
      <c r="Y53" s="81"/>
      <c r="Z53" s="81"/>
      <c r="AA53" s="81"/>
      <c r="AB53" s="81"/>
      <c r="AC53" s="81"/>
      <c r="AD53" s="81"/>
      <c r="AE53" s="81"/>
      <c r="AF53" s="81"/>
    </row>
    <row r="54" spans="1:32">
      <c r="A54" s="76" t="s">
        <v>788</v>
      </c>
      <c r="B54" s="79">
        <f>B45*2*1.1</f>
        <v>60060.000000000007</v>
      </c>
      <c r="C54" s="79">
        <f t="shared" ref="C54:I54" si="82">C45*2*1.1</f>
        <v>68640</v>
      </c>
      <c r="D54" s="79">
        <f t="shared" si="82"/>
        <v>77220</v>
      </c>
      <c r="E54" s="79">
        <f t="shared" si="82"/>
        <v>85690</v>
      </c>
      <c r="F54" s="79">
        <f t="shared" si="82"/>
        <v>92620.000000000015</v>
      </c>
      <c r="G54" s="79">
        <f t="shared" si="82"/>
        <v>99440.000000000015</v>
      </c>
      <c r="H54" s="79">
        <f t="shared" si="82"/>
        <v>106260.00000000001</v>
      </c>
      <c r="I54" s="79">
        <f t="shared" si="82"/>
        <v>113190.00000000001</v>
      </c>
      <c r="J54" s="80">
        <f t="shared" ref="J54:J62" si="83">TRUNC(B54/12*0.3)</f>
        <v>1501</v>
      </c>
      <c r="K54" s="80">
        <f t="shared" ref="K54:K62" si="84">TRUNC((B54+C54)/2/12*0.3)</f>
        <v>1608</v>
      </c>
      <c r="L54" s="80">
        <f t="shared" ref="L54:L62" si="85">TRUNC((D54)/12*0.3)</f>
        <v>1930</v>
      </c>
      <c r="M54" s="80">
        <f t="shared" ref="M54:M62" si="86">TRUNC(((E54+F54)/2)/12*0.3)</f>
        <v>2228</v>
      </c>
      <c r="N54" s="80">
        <f t="shared" ref="N54:N62" si="87">TRUNC(G54/12*0.3)</f>
        <v>2486</v>
      </c>
      <c r="O54" s="80">
        <f t="shared" ref="O54:O62" si="88">TRUNC(((H54+I54)/2)/12*0.3)</f>
        <v>2743</v>
      </c>
      <c r="P54" s="81"/>
      <c r="Q54" s="81"/>
      <c r="R54" s="81"/>
      <c r="S54" s="81"/>
      <c r="T54" s="81"/>
      <c r="U54" s="81"/>
      <c r="V54" s="81"/>
      <c r="W54" s="81"/>
      <c r="X54" s="81"/>
      <c r="Y54" s="81"/>
      <c r="Z54" s="81"/>
      <c r="AA54" s="81"/>
      <c r="AB54" s="81"/>
      <c r="AC54" s="81"/>
      <c r="AD54" s="81"/>
      <c r="AE54" s="81"/>
      <c r="AF54" s="81"/>
    </row>
    <row r="55" spans="1:32">
      <c r="A55" s="76" t="s">
        <v>789</v>
      </c>
      <c r="B55" s="79">
        <f>B45*2*1.2</f>
        <v>65520</v>
      </c>
      <c r="C55" s="79">
        <f t="shared" ref="C55:I55" si="89">C45*2*1.2</f>
        <v>74880</v>
      </c>
      <c r="D55" s="79">
        <f t="shared" si="89"/>
        <v>84240</v>
      </c>
      <c r="E55" s="79">
        <f t="shared" si="89"/>
        <v>93480</v>
      </c>
      <c r="F55" s="79">
        <f t="shared" si="89"/>
        <v>101040</v>
      </c>
      <c r="G55" s="79">
        <f t="shared" si="89"/>
        <v>108480</v>
      </c>
      <c r="H55" s="79">
        <f t="shared" si="89"/>
        <v>115920</v>
      </c>
      <c r="I55" s="79">
        <f t="shared" si="89"/>
        <v>123480</v>
      </c>
      <c r="J55" s="80">
        <f t="shared" si="83"/>
        <v>1638</v>
      </c>
      <c r="K55" s="80">
        <f t="shared" si="84"/>
        <v>1755</v>
      </c>
      <c r="L55" s="80">
        <f t="shared" si="85"/>
        <v>2106</v>
      </c>
      <c r="M55" s="80">
        <f t="shared" si="86"/>
        <v>2431</v>
      </c>
      <c r="N55" s="80">
        <f t="shared" si="87"/>
        <v>2712</v>
      </c>
      <c r="O55" s="80">
        <f t="shared" si="88"/>
        <v>2992</v>
      </c>
      <c r="P55" s="81"/>
      <c r="Q55" s="81"/>
      <c r="R55" s="81"/>
      <c r="S55" s="81"/>
      <c r="T55" s="81"/>
      <c r="U55" s="81"/>
      <c r="V55" s="81"/>
      <c r="W55" s="81"/>
      <c r="X55" s="81"/>
      <c r="Y55" s="81"/>
      <c r="Z55" s="81"/>
      <c r="AA55" s="81"/>
      <c r="AB55" s="81"/>
      <c r="AC55" s="81"/>
      <c r="AD55" s="81"/>
      <c r="AE55" s="81"/>
      <c r="AF55" s="81"/>
    </row>
    <row r="56" spans="1:32">
      <c r="A56" s="76" t="s">
        <v>790</v>
      </c>
      <c r="B56" s="79">
        <f>B63*2*0.15</f>
        <v>7320</v>
      </c>
      <c r="C56" s="79">
        <f>C63*2*0.15</f>
        <v>8370</v>
      </c>
      <c r="D56" s="79">
        <f>D63*2*0.15</f>
        <v>9420</v>
      </c>
      <c r="E56" s="79">
        <f>E63*2*0.15</f>
        <v>10455</v>
      </c>
      <c r="F56" s="79">
        <f>F63*2*0.15</f>
        <v>11295</v>
      </c>
      <c r="G56" s="79">
        <f t="shared" ref="G56:I56" si="90">G63*2*0.15</f>
        <v>12135</v>
      </c>
      <c r="H56" s="79">
        <f t="shared" si="90"/>
        <v>12975</v>
      </c>
      <c r="I56" s="79">
        <f t="shared" si="90"/>
        <v>13815</v>
      </c>
      <c r="J56" s="80">
        <f t="shared" si="83"/>
        <v>183</v>
      </c>
      <c r="K56" s="80">
        <f t="shared" si="84"/>
        <v>196</v>
      </c>
      <c r="L56" s="80">
        <f t="shared" si="85"/>
        <v>235</v>
      </c>
      <c r="M56" s="80">
        <f t="shared" si="86"/>
        <v>271</v>
      </c>
      <c r="N56" s="80">
        <f t="shared" si="87"/>
        <v>303</v>
      </c>
      <c r="O56" s="80">
        <f t="shared" si="88"/>
        <v>334</v>
      </c>
      <c r="P56" s="81"/>
      <c r="Q56" s="81"/>
      <c r="R56" s="81"/>
      <c r="S56" s="81"/>
      <c r="T56" s="81"/>
      <c r="U56" s="81"/>
      <c r="V56" s="81"/>
      <c r="W56" s="81"/>
      <c r="X56" s="81"/>
      <c r="Y56" s="81"/>
      <c r="Z56" s="81"/>
      <c r="AA56" s="81"/>
      <c r="AB56" s="81"/>
      <c r="AC56" s="81"/>
      <c r="AD56" s="81"/>
      <c r="AE56" s="81"/>
      <c r="AF56" s="81"/>
    </row>
    <row r="57" spans="1:32">
      <c r="A57" s="76" t="s">
        <v>791</v>
      </c>
      <c r="B57" s="79">
        <f>B63*2*0.2</f>
        <v>9760</v>
      </c>
      <c r="C57" s="79">
        <f t="shared" ref="C57:I57" si="91">C63*2*0.2</f>
        <v>11160</v>
      </c>
      <c r="D57" s="79">
        <f t="shared" si="91"/>
        <v>12560</v>
      </c>
      <c r="E57" s="79">
        <f t="shared" si="91"/>
        <v>13940</v>
      </c>
      <c r="F57" s="79">
        <f t="shared" si="91"/>
        <v>15060</v>
      </c>
      <c r="G57" s="79">
        <f t="shared" si="91"/>
        <v>16180</v>
      </c>
      <c r="H57" s="79">
        <f t="shared" si="91"/>
        <v>17300</v>
      </c>
      <c r="I57" s="79">
        <f t="shared" si="91"/>
        <v>18420</v>
      </c>
      <c r="J57" s="80">
        <f t="shared" si="83"/>
        <v>244</v>
      </c>
      <c r="K57" s="80">
        <f t="shared" si="84"/>
        <v>261</v>
      </c>
      <c r="L57" s="80">
        <f t="shared" si="85"/>
        <v>314</v>
      </c>
      <c r="M57" s="80">
        <f t="shared" si="86"/>
        <v>362</v>
      </c>
      <c r="N57" s="80">
        <f t="shared" si="87"/>
        <v>404</v>
      </c>
      <c r="O57" s="80">
        <f t="shared" si="88"/>
        <v>446</v>
      </c>
      <c r="P57" s="81"/>
      <c r="Q57" s="81"/>
      <c r="R57" s="81"/>
      <c r="S57" s="81"/>
      <c r="T57" s="81"/>
      <c r="U57" s="81"/>
      <c r="V57" s="81"/>
      <c r="W57" s="81"/>
      <c r="X57" s="81"/>
      <c r="Y57" s="81"/>
      <c r="Z57" s="81"/>
      <c r="AA57" s="81"/>
      <c r="AB57" s="81"/>
      <c r="AC57" s="81"/>
      <c r="AD57" s="81"/>
      <c r="AE57" s="81"/>
      <c r="AF57" s="81"/>
    </row>
    <row r="58" spans="1:32">
      <c r="A58" s="76" t="s">
        <v>792</v>
      </c>
      <c r="B58" s="79">
        <f>B63*2*0.25</f>
        <v>12200</v>
      </c>
      <c r="C58" s="79">
        <f t="shared" ref="C58:I58" si="92">C63*2*0.25</f>
        <v>13950</v>
      </c>
      <c r="D58" s="79">
        <f t="shared" si="92"/>
        <v>15700</v>
      </c>
      <c r="E58" s="79">
        <f t="shared" si="92"/>
        <v>17425</v>
      </c>
      <c r="F58" s="79">
        <f t="shared" si="92"/>
        <v>18825</v>
      </c>
      <c r="G58" s="79">
        <f t="shared" si="92"/>
        <v>20225</v>
      </c>
      <c r="H58" s="79">
        <f t="shared" si="92"/>
        <v>21625</v>
      </c>
      <c r="I58" s="79">
        <f t="shared" si="92"/>
        <v>23025</v>
      </c>
      <c r="J58" s="80">
        <f t="shared" si="83"/>
        <v>305</v>
      </c>
      <c r="K58" s="80">
        <f t="shared" si="84"/>
        <v>326</v>
      </c>
      <c r="L58" s="80">
        <f t="shared" si="85"/>
        <v>392</v>
      </c>
      <c r="M58" s="80">
        <f t="shared" si="86"/>
        <v>453</v>
      </c>
      <c r="N58" s="80">
        <f t="shared" si="87"/>
        <v>505</v>
      </c>
      <c r="O58" s="80">
        <f t="shared" si="88"/>
        <v>558</v>
      </c>
      <c r="P58" s="81"/>
      <c r="Q58" s="81"/>
      <c r="R58" s="81"/>
      <c r="S58" s="81"/>
      <c r="T58" s="81"/>
      <c r="U58" s="81"/>
      <c r="V58" s="81"/>
      <c r="W58" s="81"/>
      <c r="X58" s="81"/>
      <c r="Y58" s="81"/>
      <c r="Z58" s="81"/>
      <c r="AA58" s="81"/>
      <c r="AB58" s="81"/>
      <c r="AC58" s="81"/>
      <c r="AD58" s="81"/>
      <c r="AE58" s="81"/>
      <c r="AF58" s="81"/>
    </row>
    <row r="59" spans="1:32">
      <c r="A59" s="76" t="s">
        <v>793</v>
      </c>
      <c r="B59" s="79">
        <f>B63*2*0.3</f>
        <v>14640</v>
      </c>
      <c r="C59" s="79">
        <f t="shared" ref="C59:I59" si="93">C63*2*0.3</f>
        <v>16740</v>
      </c>
      <c r="D59" s="79">
        <f t="shared" si="93"/>
        <v>18840</v>
      </c>
      <c r="E59" s="79">
        <f t="shared" si="93"/>
        <v>20910</v>
      </c>
      <c r="F59" s="79">
        <f t="shared" si="93"/>
        <v>22590</v>
      </c>
      <c r="G59" s="79">
        <f t="shared" si="93"/>
        <v>24270</v>
      </c>
      <c r="H59" s="79">
        <f t="shared" si="93"/>
        <v>25950</v>
      </c>
      <c r="I59" s="79">
        <f t="shared" si="93"/>
        <v>27630</v>
      </c>
      <c r="J59" s="80">
        <f t="shared" si="83"/>
        <v>366</v>
      </c>
      <c r="K59" s="80">
        <f t="shared" si="84"/>
        <v>392</v>
      </c>
      <c r="L59" s="80">
        <f t="shared" si="85"/>
        <v>471</v>
      </c>
      <c r="M59" s="80">
        <f t="shared" si="86"/>
        <v>543</v>
      </c>
      <c r="N59" s="80">
        <f t="shared" si="87"/>
        <v>606</v>
      </c>
      <c r="O59" s="80">
        <f t="shared" si="88"/>
        <v>669</v>
      </c>
      <c r="P59" s="81"/>
      <c r="Q59" s="81"/>
      <c r="R59" s="81"/>
      <c r="S59" s="81"/>
      <c r="T59" s="81"/>
      <c r="U59" s="81"/>
      <c r="V59" s="81"/>
      <c r="W59" s="81"/>
      <c r="X59" s="81"/>
      <c r="Y59" s="81"/>
      <c r="Z59" s="81"/>
      <c r="AA59" s="81"/>
      <c r="AB59" s="81"/>
      <c r="AC59" s="81"/>
      <c r="AD59" s="81"/>
      <c r="AE59" s="81"/>
      <c r="AF59" s="81"/>
    </row>
    <row r="60" spans="1:32">
      <c r="A60" s="76" t="s">
        <v>794</v>
      </c>
      <c r="B60" s="79">
        <f>B63*2*0.35</f>
        <v>17080</v>
      </c>
      <c r="C60" s="79">
        <f t="shared" ref="C60:I60" si="94">C63*2*0.35</f>
        <v>19530</v>
      </c>
      <c r="D60" s="79">
        <f t="shared" si="94"/>
        <v>21980</v>
      </c>
      <c r="E60" s="79">
        <f t="shared" si="94"/>
        <v>24395</v>
      </c>
      <c r="F60" s="79">
        <f t="shared" si="94"/>
        <v>26355</v>
      </c>
      <c r="G60" s="79">
        <f t="shared" si="94"/>
        <v>28315</v>
      </c>
      <c r="H60" s="79">
        <f t="shared" si="94"/>
        <v>30274.999999999996</v>
      </c>
      <c r="I60" s="79">
        <f t="shared" si="94"/>
        <v>32234.999999999996</v>
      </c>
      <c r="J60" s="80">
        <f t="shared" si="83"/>
        <v>427</v>
      </c>
      <c r="K60" s="80">
        <f t="shared" si="84"/>
        <v>457</v>
      </c>
      <c r="L60" s="80">
        <f t="shared" si="85"/>
        <v>549</v>
      </c>
      <c r="M60" s="80">
        <f t="shared" si="86"/>
        <v>634</v>
      </c>
      <c r="N60" s="80">
        <f t="shared" si="87"/>
        <v>707</v>
      </c>
      <c r="O60" s="80">
        <f t="shared" si="88"/>
        <v>781</v>
      </c>
      <c r="P60" s="81"/>
      <c r="Q60" s="81"/>
      <c r="R60" s="81"/>
      <c r="S60" s="81"/>
      <c r="T60" s="81"/>
      <c r="U60" s="81"/>
      <c r="V60" s="81"/>
      <c r="W60" s="81"/>
      <c r="X60" s="81"/>
      <c r="Y60" s="81"/>
      <c r="Z60" s="81"/>
      <c r="AA60" s="81"/>
      <c r="AB60" s="81"/>
      <c r="AC60" s="81"/>
      <c r="AD60" s="81"/>
      <c r="AE60" s="81"/>
      <c r="AF60" s="81"/>
    </row>
    <row r="61" spans="1:32">
      <c r="A61" s="76" t="s">
        <v>795</v>
      </c>
      <c r="B61" s="79">
        <f>B63*2*0.4</f>
        <v>19520</v>
      </c>
      <c r="C61" s="79">
        <f t="shared" ref="C61:I61" si="95">C63*2*0.4</f>
        <v>22320</v>
      </c>
      <c r="D61" s="79">
        <f t="shared" si="95"/>
        <v>25120</v>
      </c>
      <c r="E61" s="79">
        <f t="shared" si="95"/>
        <v>27880</v>
      </c>
      <c r="F61" s="79">
        <f t="shared" si="95"/>
        <v>30120</v>
      </c>
      <c r="G61" s="79">
        <f t="shared" si="95"/>
        <v>32360</v>
      </c>
      <c r="H61" s="79">
        <f t="shared" si="95"/>
        <v>34600</v>
      </c>
      <c r="I61" s="79">
        <f t="shared" si="95"/>
        <v>36840</v>
      </c>
      <c r="J61" s="80">
        <f t="shared" si="83"/>
        <v>488</v>
      </c>
      <c r="K61" s="80">
        <f t="shared" si="84"/>
        <v>523</v>
      </c>
      <c r="L61" s="80">
        <f t="shared" si="85"/>
        <v>628</v>
      </c>
      <c r="M61" s="80">
        <f t="shared" si="86"/>
        <v>725</v>
      </c>
      <c r="N61" s="80">
        <f t="shared" si="87"/>
        <v>809</v>
      </c>
      <c r="O61" s="80">
        <f t="shared" si="88"/>
        <v>893</v>
      </c>
      <c r="P61" s="81"/>
      <c r="Q61" s="81"/>
      <c r="R61" s="81"/>
      <c r="S61" s="81"/>
      <c r="T61" s="81"/>
      <c r="U61" s="81"/>
      <c r="V61" s="81"/>
      <c r="W61" s="81"/>
      <c r="X61" s="81"/>
      <c r="Y61" s="81"/>
      <c r="Z61" s="81"/>
      <c r="AA61" s="81"/>
      <c r="AB61" s="81"/>
      <c r="AC61" s="81"/>
      <c r="AD61" s="81"/>
      <c r="AE61" s="81"/>
      <c r="AF61" s="81"/>
    </row>
    <row r="62" spans="1:32">
      <c r="A62" s="76" t="s">
        <v>796</v>
      </c>
      <c r="B62" s="79">
        <f>B63*2*0.45</f>
        <v>21960</v>
      </c>
      <c r="C62" s="79">
        <f t="shared" ref="C62:I62" si="96">C63*2*0.45</f>
        <v>25110</v>
      </c>
      <c r="D62" s="79">
        <f t="shared" si="96"/>
        <v>28260</v>
      </c>
      <c r="E62" s="79">
        <f t="shared" si="96"/>
        <v>31365</v>
      </c>
      <c r="F62" s="79">
        <f t="shared" si="96"/>
        <v>33885</v>
      </c>
      <c r="G62" s="79">
        <f t="shared" si="96"/>
        <v>36405</v>
      </c>
      <c r="H62" s="79">
        <f t="shared" si="96"/>
        <v>38925</v>
      </c>
      <c r="I62" s="79">
        <f t="shared" si="96"/>
        <v>41445</v>
      </c>
      <c r="J62" s="80">
        <f t="shared" si="83"/>
        <v>549</v>
      </c>
      <c r="K62" s="80">
        <f t="shared" si="84"/>
        <v>588</v>
      </c>
      <c r="L62" s="80">
        <f t="shared" si="85"/>
        <v>706</v>
      </c>
      <c r="M62" s="80">
        <f t="shared" si="86"/>
        <v>815</v>
      </c>
      <c r="N62" s="80">
        <f t="shared" si="87"/>
        <v>910</v>
      </c>
      <c r="O62" s="80">
        <f t="shared" si="88"/>
        <v>1004</v>
      </c>
      <c r="P62" s="81"/>
      <c r="Q62" s="81"/>
      <c r="R62" s="81"/>
      <c r="S62" s="81"/>
      <c r="T62" s="81"/>
      <c r="U62" s="81"/>
      <c r="V62" s="81"/>
      <c r="W62" s="81"/>
      <c r="X62" s="81"/>
      <c r="Y62" s="81"/>
      <c r="Z62" s="81"/>
      <c r="AA62" s="81"/>
      <c r="AB62" s="81"/>
      <c r="AC62" s="81"/>
      <c r="AD62" s="81"/>
      <c r="AE62" s="81"/>
      <c r="AF62" s="81"/>
    </row>
    <row r="63" spans="1:32">
      <c r="A63" s="82" t="s">
        <v>797</v>
      </c>
      <c r="B63" s="84">
        <f>'MTSP 50% Income Limits '!B5</f>
        <v>24400</v>
      </c>
      <c r="C63" s="84">
        <f>'MTSP 50% Income Limits '!C5</f>
        <v>27900</v>
      </c>
      <c r="D63" s="84">
        <f>'MTSP 50% Income Limits '!D5</f>
        <v>31400</v>
      </c>
      <c r="E63" s="84">
        <f>'MTSP 50% Income Limits '!E5</f>
        <v>34850</v>
      </c>
      <c r="F63" s="84">
        <f>'MTSP 50% Income Limits '!F5</f>
        <v>37650</v>
      </c>
      <c r="G63" s="84">
        <f>'MTSP 50% Income Limits '!G5</f>
        <v>40450</v>
      </c>
      <c r="H63" s="84">
        <f>'MTSP 50% Income Limits '!H5</f>
        <v>43250</v>
      </c>
      <c r="I63" s="84">
        <f>'MTSP 50% Income Limits '!I5</f>
        <v>46050</v>
      </c>
      <c r="J63" s="83">
        <f>TRUNC(B63/12*0.3)</f>
        <v>610</v>
      </c>
      <c r="K63" s="83">
        <f>TRUNC((B63+C63)/2/12*0.3)</f>
        <v>653</v>
      </c>
      <c r="L63" s="83">
        <f>TRUNC((D63)/12*0.3)</f>
        <v>785</v>
      </c>
      <c r="M63" s="83">
        <f>TRUNC(((E63+F63)/2)/12*0.3)</f>
        <v>906</v>
      </c>
      <c r="N63" s="83">
        <f>TRUNC(G63/12*0.3)</f>
        <v>1011</v>
      </c>
      <c r="O63" s="83">
        <f>TRUNC(((H63+I63)/2)/12*0.3)</f>
        <v>1116</v>
      </c>
      <c r="P63" s="81"/>
      <c r="Q63" s="81"/>
      <c r="R63" s="81"/>
      <c r="S63" s="81"/>
      <c r="T63" s="81"/>
      <c r="U63" s="81"/>
      <c r="V63" s="81"/>
      <c r="W63" s="81"/>
      <c r="X63" s="81"/>
      <c r="Y63" s="81"/>
      <c r="Z63" s="81"/>
      <c r="AA63" s="81"/>
      <c r="AB63" s="81"/>
      <c r="AC63" s="81"/>
      <c r="AD63" s="81"/>
      <c r="AE63" s="81"/>
      <c r="AF63" s="81"/>
    </row>
    <row r="64" spans="1:32">
      <c r="A64" s="76" t="s">
        <v>798</v>
      </c>
      <c r="B64" s="79">
        <f>B63*2*0.55</f>
        <v>26840.000000000004</v>
      </c>
      <c r="C64" s="79">
        <f t="shared" ref="C64:I64" si="97">C63*2*0.55</f>
        <v>30690.000000000004</v>
      </c>
      <c r="D64" s="79">
        <f t="shared" si="97"/>
        <v>34540</v>
      </c>
      <c r="E64" s="79">
        <f t="shared" si="97"/>
        <v>38335</v>
      </c>
      <c r="F64" s="79">
        <f t="shared" si="97"/>
        <v>41415</v>
      </c>
      <c r="G64" s="79">
        <f t="shared" si="97"/>
        <v>44495</v>
      </c>
      <c r="H64" s="79">
        <f t="shared" si="97"/>
        <v>47575.000000000007</v>
      </c>
      <c r="I64" s="79">
        <f t="shared" si="97"/>
        <v>50655.000000000007</v>
      </c>
      <c r="J64" s="80">
        <f t="shared" ref="J64:J70" si="98">TRUNC(B64/12*0.3)</f>
        <v>671</v>
      </c>
      <c r="K64" s="80">
        <f t="shared" ref="K64:K70" si="99">TRUNC((B64+C64)/2/12*0.3)</f>
        <v>719</v>
      </c>
      <c r="L64" s="80">
        <f t="shared" ref="L64:L70" si="100">TRUNC((D64)/12*0.3)</f>
        <v>863</v>
      </c>
      <c r="M64" s="80">
        <f t="shared" ref="M64:M70" si="101">TRUNC(((E64+F64)/2)/12*0.3)</f>
        <v>996</v>
      </c>
      <c r="N64" s="80">
        <f t="shared" ref="N64:N70" si="102">TRUNC(G64/12*0.3)</f>
        <v>1112</v>
      </c>
      <c r="O64" s="80">
        <f t="shared" ref="O64:O70" si="103">TRUNC(((H64+I64)/2)/12*0.3)</f>
        <v>1227</v>
      </c>
      <c r="P64" s="81"/>
      <c r="Q64" s="81"/>
      <c r="R64" s="81"/>
      <c r="S64" s="81"/>
      <c r="T64" s="81"/>
      <c r="U64" s="81"/>
      <c r="V64" s="81"/>
      <c r="W64" s="81"/>
      <c r="X64" s="81"/>
      <c r="Y64" s="81"/>
      <c r="Z64" s="81"/>
      <c r="AA64" s="81"/>
      <c r="AB64" s="81"/>
      <c r="AC64" s="81"/>
      <c r="AD64" s="81"/>
      <c r="AE64" s="81"/>
      <c r="AF64" s="81"/>
    </row>
    <row r="65" spans="1:32">
      <c r="A65" s="76" t="s">
        <v>799</v>
      </c>
      <c r="B65" s="79">
        <f>B63*2*0.6</f>
        <v>29280</v>
      </c>
      <c r="C65" s="79">
        <f t="shared" ref="C65:I65" si="104">C63*2*0.6</f>
        <v>33480</v>
      </c>
      <c r="D65" s="79">
        <f t="shared" si="104"/>
        <v>37680</v>
      </c>
      <c r="E65" s="79">
        <f t="shared" si="104"/>
        <v>41820</v>
      </c>
      <c r="F65" s="79">
        <f t="shared" si="104"/>
        <v>45180</v>
      </c>
      <c r="G65" s="79">
        <f t="shared" si="104"/>
        <v>48540</v>
      </c>
      <c r="H65" s="79">
        <f t="shared" si="104"/>
        <v>51900</v>
      </c>
      <c r="I65" s="79">
        <f t="shared" si="104"/>
        <v>55260</v>
      </c>
      <c r="J65" s="80">
        <f t="shared" si="98"/>
        <v>732</v>
      </c>
      <c r="K65" s="80">
        <f t="shared" si="99"/>
        <v>784</v>
      </c>
      <c r="L65" s="80">
        <f t="shared" si="100"/>
        <v>942</v>
      </c>
      <c r="M65" s="80">
        <f t="shared" si="101"/>
        <v>1087</v>
      </c>
      <c r="N65" s="80">
        <f t="shared" si="102"/>
        <v>1213</v>
      </c>
      <c r="O65" s="80">
        <f t="shared" si="103"/>
        <v>1339</v>
      </c>
      <c r="P65" s="81"/>
      <c r="Q65" s="81"/>
      <c r="R65" s="81"/>
      <c r="S65" s="81"/>
      <c r="T65" s="81"/>
      <c r="U65" s="81"/>
      <c r="V65" s="81"/>
      <c r="W65" s="81"/>
      <c r="X65" s="81"/>
      <c r="Y65" s="81"/>
      <c r="Z65" s="81"/>
      <c r="AA65" s="81"/>
      <c r="AB65" s="81"/>
      <c r="AC65" s="81"/>
      <c r="AD65" s="81"/>
      <c r="AE65" s="81"/>
      <c r="AF65" s="81"/>
    </row>
    <row r="66" spans="1:32">
      <c r="A66" s="76" t="s">
        <v>800</v>
      </c>
      <c r="B66" s="79">
        <f>B63*2*0.65</f>
        <v>31720</v>
      </c>
      <c r="C66" s="79">
        <f t="shared" ref="C66:I66" si="105">C63*2*0.65</f>
        <v>36270</v>
      </c>
      <c r="D66" s="79">
        <f t="shared" si="105"/>
        <v>40820</v>
      </c>
      <c r="E66" s="79">
        <f t="shared" si="105"/>
        <v>45305</v>
      </c>
      <c r="F66" s="79">
        <f t="shared" si="105"/>
        <v>48945</v>
      </c>
      <c r="G66" s="79">
        <f t="shared" si="105"/>
        <v>52585</v>
      </c>
      <c r="H66" s="79">
        <f t="shared" si="105"/>
        <v>56225</v>
      </c>
      <c r="I66" s="79">
        <f t="shared" si="105"/>
        <v>59865</v>
      </c>
      <c r="J66" s="80">
        <f t="shared" si="98"/>
        <v>793</v>
      </c>
      <c r="K66" s="80">
        <f t="shared" si="99"/>
        <v>849</v>
      </c>
      <c r="L66" s="80">
        <f t="shared" si="100"/>
        <v>1020</v>
      </c>
      <c r="M66" s="80">
        <f t="shared" si="101"/>
        <v>1178</v>
      </c>
      <c r="N66" s="80">
        <f t="shared" si="102"/>
        <v>1314</v>
      </c>
      <c r="O66" s="80">
        <f t="shared" si="103"/>
        <v>1451</v>
      </c>
      <c r="P66" s="81"/>
      <c r="Q66" s="81"/>
      <c r="R66" s="81"/>
      <c r="S66" s="81"/>
      <c r="T66" s="81"/>
      <c r="U66" s="81"/>
      <c r="V66" s="81"/>
      <c r="W66" s="81"/>
      <c r="X66" s="81"/>
      <c r="Y66" s="81"/>
      <c r="Z66" s="81"/>
      <c r="AA66" s="81"/>
      <c r="AB66" s="81"/>
      <c r="AC66" s="81"/>
      <c r="AD66" s="81"/>
      <c r="AE66" s="81"/>
      <c r="AF66" s="81"/>
    </row>
    <row r="67" spans="1:32">
      <c r="A67" s="76" t="s">
        <v>801</v>
      </c>
      <c r="B67" s="79">
        <f>B63*2*0.7</f>
        <v>34160</v>
      </c>
      <c r="C67" s="79">
        <f t="shared" ref="C67:I67" si="106">C63*2*0.7</f>
        <v>39060</v>
      </c>
      <c r="D67" s="79">
        <f t="shared" si="106"/>
        <v>43960</v>
      </c>
      <c r="E67" s="79">
        <f t="shared" si="106"/>
        <v>48790</v>
      </c>
      <c r="F67" s="79">
        <f t="shared" si="106"/>
        <v>52710</v>
      </c>
      <c r="G67" s="79">
        <f t="shared" si="106"/>
        <v>56630</v>
      </c>
      <c r="H67" s="79">
        <f t="shared" si="106"/>
        <v>60549.999999999993</v>
      </c>
      <c r="I67" s="79">
        <f t="shared" si="106"/>
        <v>64469.999999999993</v>
      </c>
      <c r="J67" s="80">
        <f t="shared" si="98"/>
        <v>854</v>
      </c>
      <c r="K67" s="80">
        <f t="shared" si="99"/>
        <v>915</v>
      </c>
      <c r="L67" s="80">
        <f t="shared" si="100"/>
        <v>1099</v>
      </c>
      <c r="M67" s="80">
        <f t="shared" si="101"/>
        <v>1268</v>
      </c>
      <c r="N67" s="80">
        <f t="shared" si="102"/>
        <v>1415</v>
      </c>
      <c r="O67" s="80">
        <f t="shared" si="103"/>
        <v>1562</v>
      </c>
      <c r="P67" s="81"/>
      <c r="Q67" s="81"/>
      <c r="R67" s="81"/>
      <c r="S67" s="81"/>
      <c r="T67" s="81"/>
      <c r="U67" s="81"/>
      <c r="V67" s="81"/>
      <c r="W67" s="81"/>
      <c r="X67" s="81"/>
      <c r="Y67" s="81"/>
      <c r="Z67" s="81"/>
      <c r="AA67" s="81"/>
      <c r="AB67" s="81"/>
      <c r="AC67" s="81"/>
      <c r="AD67" s="81"/>
      <c r="AE67" s="81"/>
      <c r="AF67" s="81"/>
    </row>
    <row r="68" spans="1:32">
      <c r="A68" s="76" t="s">
        <v>802</v>
      </c>
      <c r="B68" s="79">
        <f>B63*2*0.75</f>
        <v>36600</v>
      </c>
      <c r="C68" s="79">
        <f t="shared" ref="C68:I68" si="107">C63*2*0.75</f>
        <v>41850</v>
      </c>
      <c r="D68" s="79">
        <f t="shared" si="107"/>
        <v>47100</v>
      </c>
      <c r="E68" s="79">
        <f t="shared" si="107"/>
        <v>52275</v>
      </c>
      <c r="F68" s="79">
        <f t="shared" si="107"/>
        <v>56475</v>
      </c>
      <c r="G68" s="79">
        <f t="shared" si="107"/>
        <v>60675</v>
      </c>
      <c r="H68" s="79">
        <f t="shared" si="107"/>
        <v>64875</v>
      </c>
      <c r="I68" s="79">
        <f t="shared" si="107"/>
        <v>69075</v>
      </c>
      <c r="J68" s="80">
        <f t="shared" si="98"/>
        <v>915</v>
      </c>
      <c r="K68" s="80">
        <f t="shared" si="99"/>
        <v>980</v>
      </c>
      <c r="L68" s="80">
        <f t="shared" si="100"/>
        <v>1177</v>
      </c>
      <c r="M68" s="80">
        <f t="shared" si="101"/>
        <v>1359</v>
      </c>
      <c r="N68" s="80">
        <f t="shared" si="102"/>
        <v>1516</v>
      </c>
      <c r="O68" s="80">
        <f t="shared" si="103"/>
        <v>1674</v>
      </c>
      <c r="P68" s="81"/>
      <c r="Q68" s="81"/>
      <c r="R68" s="81"/>
      <c r="S68" s="81"/>
      <c r="T68" s="81"/>
      <c r="U68" s="81"/>
      <c r="V68" s="81"/>
      <c r="W68" s="81"/>
      <c r="X68" s="81"/>
      <c r="Y68" s="81"/>
      <c r="Z68" s="81"/>
      <c r="AA68" s="81"/>
      <c r="AB68" s="81"/>
      <c r="AC68" s="81"/>
      <c r="AD68" s="81"/>
      <c r="AE68" s="81"/>
      <c r="AF68" s="81"/>
    </row>
    <row r="69" spans="1:32">
      <c r="A69" s="76" t="s">
        <v>803</v>
      </c>
      <c r="B69" s="79">
        <f>B63*2*0.8</f>
        <v>39040</v>
      </c>
      <c r="C69" s="79">
        <f t="shared" ref="C69:I69" si="108">C63*2*0.8</f>
        <v>44640</v>
      </c>
      <c r="D69" s="79">
        <f t="shared" si="108"/>
        <v>50240</v>
      </c>
      <c r="E69" s="79">
        <f t="shared" si="108"/>
        <v>55760</v>
      </c>
      <c r="F69" s="79">
        <f t="shared" si="108"/>
        <v>60240</v>
      </c>
      <c r="G69" s="79">
        <f t="shared" si="108"/>
        <v>64720</v>
      </c>
      <c r="H69" s="79">
        <f t="shared" si="108"/>
        <v>69200</v>
      </c>
      <c r="I69" s="79">
        <f t="shared" si="108"/>
        <v>73680</v>
      </c>
      <c r="J69" s="80">
        <f t="shared" si="98"/>
        <v>976</v>
      </c>
      <c r="K69" s="80">
        <f t="shared" si="99"/>
        <v>1046</v>
      </c>
      <c r="L69" s="80">
        <f t="shared" si="100"/>
        <v>1256</v>
      </c>
      <c r="M69" s="80">
        <f t="shared" si="101"/>
        <v>1450</v>
      </c>
      <c r="N69" s="80">
        <f t="shared" si="102"/>
        <v>1618</v>
      </c>
      <c r="O69" s="80">
        <f t="shared" si="103"/>
        <v>1786</v>
      </c>
      <c r="P69" s="81"/>
      <c r="Q69" s="81"/>
      <c r="R69" s="81"/>
      <c r="S69" s="81"/>
      <c r="T69" s="81"/>
      <c r="U69" s="81"/>
      <c r="V69" s="81"/>
      <c r="W69" s="81"/>
      <c r="X69" s="81"/>
      <c r="Y69" s="81"/>
      <c r="Z69" s="81"/>
      <c r="AA69" s="81"/>
      <c r="AB69" s="81"/>
      <c r="AC69" s="81"/>
      <c r="AD69" s="81"/>
      <c r="AE69" s="81"/>
      <c r="AF69" s="81"/>
    </row>
    <row r="70" spans="1:32">
      <c r="A70" s="76" t="s">
        <v>804</v>
      </c>
      <c r="B70" s="79">
        <f>B63*2*0.9</f>
        <v>43920</v>
      </c>
      <c r="C70" s="79">
        <f t="shared" ref="C70:I70" si="109">C63*2*0.9</f>
        <v>50220</v>
      </c>
      <c r="D70" s="79">
        <f t="shared" si="109"/>
        <v>56520</v>
      </c>
      <c r="E70" s="79">
        <f t="shared" si="109"/>
        <v>62730</v>
      </c>
      <c r="F70" s="79">
        <f t="shared" si="109"/>
        <v>67770</v>
      </c>
      <c r="G70" s="79">
        <f t="shared" si="109"/>
        <v>72810</v>
      </c>
      <c r="H70" s="79">
        <f t="shared" si="109"/>
        <v>77850</v>
      </c>
      <c r="I70" s="79">
        <f t="shared" si="109"/>
        <v>82890</v>
      </c>
      <c r="J70" s="80">
        <f t="shared" si="98"/>
        <v>1098</v>
      </c>
      <c r="K70" s="80">
        <f t="shared" si="99"/>
        <v>1176</v>
      </c>
      <c r="L70" s="80">
        <f t="shared" si="100"/>
        <v>1413</v>
      </c>
      <c r="M70" s="80">
        <f t="shared" si="101"/>
        <v>1631</v>
      </c>
      <c r="N70" s="80">
        <f t="shared" si="102"/>
        <v>1820</v>
      </c>
      <c r="O70" s="80">
        <f t="shared" si="103"/>
        <v>2009</v>
      </c>
      <c r="P70" s="81"/>
      <c r="Q70" s="81"/>
      <c r="R70" s="81"/>
      <c r="S70" s="81"/>
      <c r="T70" s="81"/>
      <c r="U70" s="81"/>
      <c r="V70" s="81"/>
      <c r="W70" s="81"/>
      <c r="X70" s="81"/>
      <c r="Y70" s="81"/>
      <c r="Z70" s="81"/>
      <c r="AA70" s="81"/>
      <c r="AB70" s="81"/>
      <c r="AC70" s="81"/>
      <c r="AD70" s="81"/>
      <c r="AE70" s="81"/>
      <c r="AF70" s="81"/>
    </row>
    <row r="71" spans="1:32">
      <c r="A71" s="76" t="s">
        <v>805</v>
      </c>
      <c r="B71" s="79">
        <f>B63*2</f>
        <v>48800</v>
      </c>
      <c r="C71" s="79">
        <f t="shared" ref="C71:I71" si="110">C63*2</f>
        <v>55800</v>
      </c>
      <c r="D71" s="79">
        <f t="shared" si="110"/>
        <v>62800</v>
      </c>
      <c r="E71" s="79">
        <f t="shared" si="110"/>
        <v>69700</v>
      </c>
      <c r="F71" s="79">
        <f t="shared" si="110"/>
        <v>75300</v>
      </c>
      <c r="G71" s="79">
        <f t="shared" si="110"/>
        <v>80900</v>
      </c>
      <c r="H71" s="79">
        <f t="shared" si="110"/>
        <v>86500</v>
      </c>
      <c r="I71" s="79">
        <f t="shared" si="110"/>
        <v>92100</v>
      </c>
      <c r="J71" s="80">
        <f>J63*2</f>
        <v>1220</v>
      </c>
      <c r="K71" s="80">
        <f t="shared" ref="K71:O71" si="111">K63*2</f>
        <v>1306</v>
      </c>
      <c r="L71" s="80">
        <f t="shared" si="111"/>
        <v>1570</v>
      </c>
      <c r="M71" s="80">
        <f t="shared" si="111"/>
        <v>1812</v>
      </c>
      <c r="N71" s="80">
        <f t="shared" si="111"/>
        <v>2022</v>
      </c>
      <c r="O71" s="80">
        <f t="shared" si="111"/>
        <v>2232</v>
      </c>
      <c r="P71" s="81"/>
      <c r="Q71" s="81"/>
      <c r="R71" s="81"/>
      <c r="S71" s="81"/>
      <c r="T71" s="81"/>
      <c r="U71" s="81"/>
      <c r="V71" s="81"/>
      <c r="W71" s="81"/>
      <c r="X71" s="81"/>
      <c r="Y71" s="81"/>
      <c r="Z71" s="81"/>
      <c r="AA71" s="81"/>
      <c r="AB71" s="81"/>
      <c r="AC71" s="81"/>
      <c r="AD71" s="81"/>
      <c r="AE71" s="81"/>
      <c r="AF71" s="81"/>
    </row>
    <row r="72" spans="1:32">
      <c r="A72" s="76" t="s">
        <v>806</v>
      </c>
      <c r="B72" s="79">
        <f>B63*2*1.1</f>
        <v>53680.000000000007</v>
      </c>
      <c r="C72" s="79">
        <f t="shared" ref="C72:I72" si="112">C63*2*1.1</f>
        <v>61380.000000000007</v>
      </c>
      <c r="D72" s="79">
        <f t="shared" si="112"/>
        <v>69080</v>
      </c>
      <c r="E72" s="79">
        <f t="shared" si="112"/>
        <v>76670</v>
      </c>
      <c r="F72" s="79">
        <f t="shared" si="112"/>
        <v>82830</v>
      </c>
      <c r="G72" s="79">
        <f t="shared" si="112"/>
        <v>88990</v>
      </c>
      <c r="H72" s="79">
        <f t="shared" si="112"/>
        <v>95150.000000000015</v>
      </c>
      <c r="I72" s="79">
        <f t="shared" si="112"/>
        <v>101310.00000000001</v>
      </c>
      <c r="J72" s="80">
        <f t="shared" ref="J72:J80" si="113">TRUNC(B72/12*0.3)</f>
        <v>1342</v>
      </c>
      <c r="K72" s="80">
        <f t="shared" ref="K72:K80" si="114">TRUNC((B72+C72)/2/12*0.3)</f>
        <v>1438</v>
      </c>
      <c r="L72" s="80">
        <f t="shared" ref="L72:L80" si="115">TRUNC((D72)/12*0.3)</f>
        <v>1727</v>
      </c>
      <c r="M72" s="80">
        <f t="shared" ref="M72:M80" si="116">TRUNC(((E72+F72)/2)/12*0.3)</f>
        <v>1993</v>
      </c>
      <c r="N72" s="80">
        <f t="shared" ref="N72:N80" si="117">TRUNC(G72/12*0.3)</f>
        <v>2224</v>
      </c>
      <c r="O72" s="80">
        <f t="shared" ref="O72:O80" si="118">TRUNC(((H72+I72)/2)/12*0.3)</f>
        <v>2455</v>
      </c>
      <c r="P72" s="81"/>
      <c r="Q72" s="81"/>
      <c r="R72" s="81"/>
      <c r="S72" s="81"/>
      <c r="T72" s="81"/>
      <c r="U72" s="81"/>
      <c r="V72" s="81"/>
      <c r="W72" s="81"/>
      <c r="X72" s="81"/>
      <c r="Y72" s="81"/>
      <c r="Z72" s="81"/>
      <c r="AA72" s="81"/>
      <c r="AB72" s="81"/>
      <c r="AC72" s="81"/>
      <c r="AD72" s="81"/>
      <c r="AE72" s="81"/>
      <c r="AF72" s="81"/>
    </row>
    <row r="73" spans="1:32">
      <c r="A73" s="76" t="s">
        <v>807</v>
      </c>
      <c r="B73" s="79">
        <f>B63*2*1.2</f>
        <v>58560</v>
      </c>
      <c r="C73" s="79">
        <f t="shared" ref="C73:I73" si="119">C63*2*1.2</f>
        <v>66960</v>
      </c>
      <c r="D73" s="79">
        <f t="shared" si="119"/>
        <v>75360</v>
      </c>
      <c r="E73" s="79">
        <f t="shared" si="119"/>
        <v>83640</v>
      </c>
      <c r="F73" s="79">
        <f t="shared" si="119"/>
        <v>90360</v>
      </c>
      <c r="G73" s="79">
        <f t="shared" si="119"/>
        <v>97080</v>
      </c>
      <c r="H73" s="79">
        <f t="shared" si="119"/>
        <v>103800</v>
      </c>
      <c r="I73" s="79">
        <f t="shared" si="119"/>
        <v>110520</v>
      </c>
      <c r="J73" s="80">
        <f t="shared" si="113"/>
        <v>1464</v>
      </c>
      <c r="K73" s="80">
        <f t="shared" si="114"/>
        <v>1569</v>
      </c>
      <c r="L73" s="80">
        <f t="shared" si="115"/>
        <v>1884</v>
      </c>
      <c r="M73" s="80">
        <f t="shared" si="116"/>
        <v>2175</v>
      </c>
      <c r="N73" s="80">
        <f t="shared" si="117"/>
        <v>2427</v>
      </c>
      <c r="O73" s="80">
        <f t="shared" si="118"/>
        <v>2679</v>
      </c>
      <c r="P73" s="81"/>
      <c r="Q73" s="81"/>
      <c r="R73" s="81"/>
      <c r="S73" s="81"/>
      <c r="T73" s="81"/>
      <c r="U73" s="81"/>
      <c r="V73" s="81"/>
      <c r="W73" s="81"/>
      <c r="X73" s="81"/>
      <c r="Y73" s="81"/>
      <c r="Z73" s="81"/>
      <c r="AA73" s="81"/>
      <c r="AB73" s="81"/>
      <c r="AC73" s="81"/>
      <c r="AD73" s="81"/>
      <c r="AE73" s="81"/>
      <c r="AF73" s="81"/>
    </row>
    <row r="74" spans="1:32">
      <c r="A74" s="76" t="s">
        <v>808</v>
      </c>
      <c r="B74" s="79">
        <f>B81*2*0.15</f>
        <v>8580</v>
      </c>
      <c r="C74" s="79">
        <f>C81*2*0.15</f>
        <v>9810</v>
      </c>
      <c r="D74" s="79">
        <f>D81*2*0.15</f>
        <v>11040</v>
      </c>
      <c r="E74" s="79">
        <f>E81*2*0.15</f>
        <v>12255</v>
      </c>
      <c r="F74" s="79">
        <f>F81*2*0.15</f>
        <v>13245</v>
      </c>
      <c r="G74" s="79">
        <f t="shared" ref="G74:I74" si="120">G81*2*0.15</f>
        <v>14220</v>
      </c>
      <c r="H74" s="79">
        <f t="shared" si="120"/>
        <v>15210</v>
      </c>
      <c r="I74" s="79">
        <f t="shared" si="120"/>
        <v>16185</v>
      </c>
      <c r="J74" s="80">
        <f t="shared" si="113"/>
        <v>214</v>
      </c>
      <c r="K74" s="80">
        <f t="shared" si="114"/>
        <v>229</v>
      </c>
      <c r="L74" s="80">
        <f t="shared" si="115"/>
        <v>276</v>
      </c>
      <c r="M74" s="80">
        <f t="shared" si="116"/>
        <v>318</v>
      </c>
      <c r="N74" s="80">
        <f t="shared" si="117"/>
        <v>355</v>
      </c>
      <c r="O74" s="80">
        <f t="shared" si="118"/>
        <v>392</v>
      </c>
      <c r="P74" s="81"/>
      <c r="Q74" s="81"/>
      <c r="R74" s="81"/>
      <c r="S74" s="81"/>
      <c r="T74" s="81"/>
      <c r="U74" s="81"/>
      <c r="V74" s="81"/>
      <c r="W74" s="81"/>
      <c r="X74" s="81"/>
      <c r="Y74" s="81"/>
      <c r="Z74" s="81"/>
      <c r="AA74" s="81"/>
      <c r="AB74" s="81"/>
      <c r="AC74" s="81"/>
      <c r="AD74" s="81"/>
      <c r="AE74" s="81"/>
      <c r="AF74" s="81"/>
    </row>
    <row r="75" spans="1:32">
      <c r="A75" s="76" t="s">
        <v>809</v>
      </c>
      <c r="B75" s="79">
        <f>B81*2*0.2</f>
        <v>11440</v>
      </c>
      <c r="C75" s="79">
        <f t="shared" ref="C75:I75" si="121">C81*2*0.2</f>
        <v>13080</v>
      </c>
      <c r="D75" s="79">
        <f t="shared" si="121"/>
        <v>14720</v>
      </c>
      <c r="E75" s="79">
        <f t="shared" si="121"/>
        <v>16340</v>
      </c>
      <c r="F75" s="79">
        <f t="shared" si="121"/>
        <v>17660</v>
      </c>
      <c r="G75" s="79">
        <f t="shared" si="121"/>
        <v>18960</v>
      </c>
      <c r="H75" s="79">
        <f t="shared" si="121"/>
        <v>20280</v>
      </c>
      <c r="I75" s="79">
        <f t="shared" si="121"/>
        <v>21580</v>
      </c>
      <c r="J75" s="80">
        <f t="shared" si="113"/>
        <v>286</v>
      </c>
      <c r="K75" s="80">
        <f t="shared" si="114"/>
        <v>306</v>
      </c>
      <c r="L75" s="80">
        <f t="shared" si="115"/>
        <v>368</v>
      </c>
      <c r="M75" s="80">
        <f t="shared" si="116"/>
        <v>425</v>
      </c>
      <c r="N75" s="80">
        <f t="shared" si="117"/>
        <v>474</v>
      </c>
      <c r="O75" s="80">
        <f t="shared" si="118"/>
        <v>523</v>
      </c>
      <c r="P75" s="81"/>
      <c r="Q75" s="81"/>
      <c r="R75" s="81"/>
      <c r="S75" s="81"/>
      <c r="T75" s="81"/>
      <c r="U75" s="81"/>
      <c r="V75" s="81"/>
      <c r="W75" s="81"/>
      <c r="X75" s="81"/>
      <c r="Y75" s="81"/>
      <c r="Z75" s="81"/>
      <c r="AA75" s="81"/>
      <c r="AB75" s="81"/>
      <c r="AC75" s="81"/>
      <c r="AD75" s="81"/>
      <c r="AE75" s="81"/>
      <c r="AF75" s="81"/>
    </row>
    <row r="76" spans="1:32">
      <c r="A76" s="76" t="s">
        <v>810</v>
      </c>
      <c r="B76" s="79">
        <f>B81*2*0.25</f>
        <v>14300</v>
      </c>
      <c r="C76" s="79">
        <f t="shared" ref="C76:I76" si="122">C81*2*0.25</f>
        <v>16350</v>
      </c>
      <c r="D76" s="79">
        <f t="shared" si="122"/>
        <v>18400</v>
      </c>
      <c r="E76" s="79">
        <f t="shared" si="122"/>
        <v>20425</v>
      </c>
      <c r="F76" s="79">
        <f t="shared" si="122"/>
        <v>22075</v>
      </c>
      <c r="G76" s="79">
        <f t="shared" si="122"/>
        <v>23700</v>
      </c>
      <c r="H76" s="79">
        <f t="shared" si="122"/>
        <v>25350</v>
      </c>
      <c r="I76" s="79">
        <f t="shared" si="122"/>
        <v>26975</v>
      </c>
      <c r="J76" s="80">
        <f t="shared" si="113"/>
        <v>357</v>
      </c>
      <c r="K76" s="80">
        <f t="shared" si="114"/>
        <v>383</v>
      </c>
      <c r="L76" s="80">
        <f t="shared" si="115"/>
        <v>460</v>
      </c>
      <c r="M76" s="80">
        <f t="shared" si="116"/>
        <v>531</v>
      </c>
      <c r="N76" s="80">
        <f t="shared" si="117"/>
        <v>592</v>
      </c>
      <c r="O76" s="80">
        <f t="shared" si="118"/>
        <v>654</v>
      </c>
      <c r="P76" s="81"/>
      <c r="Q76" s="81"/>
      <c r="R76" s="81"/>
      <c r="S76" s="81"/>
      <c r="T76" s="81"/>
      <c r="U76" s="81"/>
      <c r="V76" s="81"/>
      <c r="W76" s="81"/>
      <c r="X76" s="81"/>
      <c r="Y76" s="81"/>
      <c r="Z76" s="81"/>
      <c r="AA76" s="81"/>
      <c r="AB76" s="81"/>
      <c r="AC76" s="81"/>
      <c r="AD76" s="81"/>
      <c r="AE76" s="81"/>
      <c r="AF76" s="81"/>
    </row>
    <row r="77" spans="1:32">
      <c r="A77" s="76" t="s">
        <v>811</v>
      </c>
      <c r="B77" s="79">
        <f>B81*2*0.3</f>
        <v>17160</v>
      </c>
      <c r="C77" s="79">
        <f t="shared" ref="C77:I77" si="123">C81*2*0.3</f>
        <v>19620</v>
      </c>
      <c r="D77" s="79">
        <f t="shared" si="123"/>
        <v>22080</v>
      </c>
      <c r="E77" s="79">
        <f t="shared" si="123"/>
        <v>24510</v>
      </c>
      <c r="F77" s="79">
        <f t="shared" si="123"/>
        <v>26490</v>
      </c>
      <c r="G77" s="79">
        <f t="shared" si="123"/>
        <v>28440</v>
      </c>
      <c r="H77" s="79">
        <f t="shared" si="123"/>
        <v>30420</v>
      </c>
      <c r="I77" s="79">
        <f t="shared" si="123"/>
        <v>32370</v>
      </c>
      <c r="J77" s="80">
        <f t="shared" si="113"/>
        <v>429</v>
      </c>
      <c r="K77" s="80">
        <f t="shared" si="114"/>
        <v>459</v>
      </c>
      <c r="L77" s="80">
        <f t="shared" si="115"/>
        <v>552</v>
      </c>
      <c r="M77" s="80">
        <f t="shared" si="116"/>
        <v>637</v>
      </c>
      <c r="N77" s="80">
        <f t="shared" si="117"/>
        <v>711</v>
      </c>
      <c r="O77" s="80">
        <f t="shared" si="118"/>
        <v>784</v>
      </c>
      <c r="P77" s="81"/>
      <c r="Q77" s="81"/>
      <c r="R77" s="81"/>
      <c r="S77" s="81"/>
      <c r="T77" s="81"/>
      <c r="U77" s="81"/>
      <c r="V77" s="81"/>
      <c r="W77" s="81"/>
      <c r="X77" s="81"/>
      <c r="Y77" s="81"/>
      <c r="Z77" s="81"/>
      <c r="AA77" s="81"/>
      <c r="AB77" s="81"/>
      <c r="AC77" s="81"/>
      <c r="AD77" s="81"/>
      <c r="AE77" s="81"/>
      <c r="AF77" s="81"/>
    </row>
    <row r="78" spans="1:32">
      <c r="A78" s="76" t="s">
        <v>812</v>
      </c>
      <c r="B78" s="79">
        <f>B81*2*0.35</f>
        <v>20020</v>
      </c>
      <c r="C78" s="79">
        <f t="shared" ref="C78:I78" si="124">C81*2*0.35</f>
        <v>22890</v>
      </c>
      <c r="D78" s="79">
        <f t="shared" si="124"/>
        <v>25760</v>
      </c>
      <c r="E78" s="79">
        <f t="shared" si="124"/>
        <v>28595</v>
      </c>
      <c r="F78" s="79">
        <f t="shared" si="124"/>
        <v>30904.999999999996</v>
      </c>
      <c r="G78" s="79">
        <f t="shared" si="124"/>
        <v>33180</v>
      </c>
      <c r="H78" s="79">
        <f t="shared" si="124"/>
        <v>35490</v>
      </c>
      <c r="I78" s="79">
        <f t="shared" si="124"/>
        <v>37765</v>
      </c>
      <c r="J78" s="80">
        <f t="shared" si="113"/>
        <v>500</v>
      </c>
      <c r="K78" s="80">
        <f t="shared" si="114"/>
        <v>536</v>
      </c>
      <c r="L78" s="80">
        <f t="shared" si="115"/>
        <v>644</v>
      </c>
      <c r="M78" s="80">
        <f t="shared" si="116"/>
        <v>743</v>
      </c>
      <c r="N78" s="80">
        <f t="shared" si="117"/>
        <v>829</v>
      </c>
      <c r="O78" s="80">
        <f t="shared" si="118"/>
        <v>915</v>
      </c>
      <c r="P78" s="81"/>
      <c r="Q78" s="81"/>
      <c r="R78" s="81"/>
      <c r="S78" s="81"/>
      <c r="T78" s="81"/>
      <c r="U78" s="81"/>
      <c r="V78" s="81"/>
      <c r="W78" s="81"/>
      <c r="X78" s="81"/>
      <c r="Y78" s="81"/>
      <c r="Z78" s="81"/>
      <c r="AA78" s="81"/>
      <c r="AB78" s="81"/>
      <c r="AC78" s="81"/>
      <c r="AD78" s="81"/>
      <c r="AE78" s="81"/>
      <c r="AF78" s="81"/>
    </row>
    <row r="79" spans="1:32">
      <c r="A79" s="76" t="s">
        <v>813</v>
      </c>
      <c r="B79" s="79">
        <f>B81*2*0.4</f>
        <v>22880</v>
      </c>
      <c r="C79" s="79">
        <f t="shared" ref="C79:I79" si="125">C81*2*0.4</f>
        <v>26160</v>
      </c>
      <c r="D79" s="79">
        <f t="shared" si="125"/>
        <v>29440</v>
      </c>
      <c r="E79" s="79">
        <f t="shared" si="125"/>
        <v>32680</v>
      </c>
      <c r="F79" s="79">
        <f t="shared" si="125"/>
        <v>35320</v>
      </c>
      <c r="G79" s="79">
        <f t="shared" si="125"/>
        <v>37920</v>
      </c>
      <c r="H79" s="79">
        <f t="shared" si="125"/>
        <v>40560</v>
      </c>
      <c r="I79" s="79">
        <f t="shared" si="125"/>
        <v>43160</v>
      </c>
      <c r="J79" s="80">
        <f t="shared" si="113"/>
        <v>572</v>
      </c>
      <c r="K79" s="80">
        <f t="shared" si="114"/>
        <v>613</v>
      </c>
      <c r="L79" s="80">
        <f t="shared" si="115"/>
        <v>736</v>
      </c>
      <c r="M79" s="80">
        <f t="shared" si="116"/>
        <v>850</v>
      </c>
      <c r="N79" s="80">
        <f t="shared" si="117"/>
        <v>948</v>
      </c>
      <c r="O79" s="80">
        <f t="shared" si="118"/>
        <v>1046</v>
      </c>
      <c r="P79" s="81"/>
      <c r="Q79" s="81"/>
      <c r="R79" s="81"/>
      <c r="S79" s="81"/>
      <c r="T79" s="81"/>
      <c r="U79" s="81"/>
      <c r="V79" s="81"/>
      <c r="W79" s="81"/>
      <c r="X79" s="81"/>
      <c r="Y79" s="81"/>
      <c r="Z79" s="81"/>
      <c r="AA79" s="81"/>
      <c r="AB79" s="81"/>
      <c r="AC79" s="81"/>
      <c r="AD79" s="81"/>
      <c r="AE79" s="81"/>
      <c r="AF79" s="81"/>
    </row>
    <row r="80" spans="1:32">
      <c r="A80" s="76" t="s">
        <v>814</v>
      </c>
      <c r="B80" s="79">
        <f>B81*2*0.45</f>
        <v>25740</v>
      </c>
      <c r="C80" s="79">
        <f t="shared" ref="C80:I80" si="126">C81*2*0.45</f>
        <v>29430</v>
      </c>
      <c r="D80" s="79">
        <f t="shared" si="126"/>
        <v>33120</v>
      </c>
      <c r="E80" s="79">
        <f t="shared" si="126"/>
        <v>36765</v>
      </c>
      <c r="F80" s="79">
        <f t="shared" si="126"/>
        <v>39735</v>
      </c>
      <c r="G80" s="79">
        <f t="shared" si="126"/>
        <v>42660</v>
      </c>
      <c r="H80" s="79">
        <f t="shared" si="126"/>
        <v>45630</v>
      </c>
      <c r="I80" s="79">
        <f t="shared" si="126"/>
        <v>48555</v>
      </c>
      <c r="J80" s="80">
        <f t="shared" si="113"/>
        <v>643</v>
      </c>
      <c r="K80" s="80">
        <f t="shared" si="114"/>
        <v>689</v>
      </c>
      <c r="L80" s="80">
        <f t="shared" si="115"/>
        <v>828</v>
      </c>
      <c r="M80" s="80">
        <f t="shared" si="116"/>
        <v>956</v>
      </c>
      <c r="N80" s="80">
        <f t="shared" si="117"/>
        <v>1066</v>
      </c>
      <c r="O80" s="80">
        <f t="shared" si="118"/>
        <v>1177</v>
      </c>
      <c r="P80" s="81"/>
      <c r="Q80" s="81"/>
      <c r="R80" s="81"/>
      <c r="S80" s="81"/>
      <c r="T80" s="81"/>
      <c r="U80" s="81"/>
      <c r="V80" s="81"/>
      <c r="W80" s="81"/>
      <c r="X80" s="81"/>
      <c r="Y80" s="81"/>
      <c r="Z80" s="81"/>
      <c r="AA80" s="81"/>
      <c r="AB80" s="81"/>
      <c r="AC80" s="81"/>
      <c r="AD80" s="81"/>
      <c r="AE80" s="81"/>
      <c r="AF80" s="81"/>
    </row>
    <row r="81" spans="1:32">
      <c r="A81" s="82" t="s">
        <v>815</v>
      </c>
      <c r="B81" s="84">
        <f>'MTSP 50% Income Limits '!B6</f>
        <v>28600</v>
      </c>
      <c r="C81" s="84">
        <f>'MTSP 50% Income Limits '!C6</f>
        <v>32700</v>
      </c>
      <c r="D81" s="84">
        <f>'MTSP 50% Income Limits '!D6</f>
        <v>36800</v>
      </c>
      <c r="E81" s="84">
        <f>'MTSP 50% Income Limits '!E6</f>
        <v>40850</v>
      </c>
      <c r="F81" s="84">
        <f>'MTSP 50% Income Limits '!F6</f>
        <v>44150</v>
      </c>
      <c r="G81" s="84">
        <f>'MTSP 50% Income Limits '!G6</f>
        <v>47400</v>
      </c>
      <c r="H81" s="84">
        <f>'MTSP 50% Income Limits '!H6</f>
        <v>50700</v>
      </c>
      <c r="I81" s="84">
        <f>'MTSP 50% Income Limits '!I6</f>
        <v>53950</v>
      </c>
      <c r="J81" s="83">
        <f>TRUNC(B81/12*0.3)</f>
        <v>715</v>
      </c>
      <c r="K81" s="83">
        <f>TRUNC((B81+C81)/2/12*0.3)</f>
        <v>766</v>
      </c>
      <c r="L81" s="83">
        <f>TRUNC((D81)/12*0.3)</f>
        <v>920</v>
      </c>
      <c r="M81" s="83">
        <f>TRUNC(((E81+F81)/2)/12*0.3)</f>
        <v>1062</v>
      </c>
      <c r="N81" s="83">
        <f>TRUNC(G81/12*0.3)</f>
        <v>1185</v>
      </c>
      <c r="O81" s="83">
        <f>TRUNC(((H81+I81)/2)/12*0.3)</f>
        <v>1308</v>
      </c>
      <c r="P81" s="81"/>
      <c r="Q81" s="81"/>
      <c r="R81" s="81"/>
      <c r="S81" s="81"/>
      <c r="T81" s="81"/>
      <c r="U81" s="81"/>
      <c r="V81" s="81"/>
      <c r="W81" s="81"/>
      <c r="X81" s="81"/>
      <c r="Y81" s="81"/>
      <c r="Z81" s="81"/>
      <c r="AA81" s="81"/>
      <c r="AB81" s="81"/>
      <c r="AC81" s="81"/>
      <c r="AD81" s="81"/>
      <c r="AE81" s="81"/>
      <c r="AF81" s="81"/>
    </row>
    <row r="82" spans="1:32">
      <c r="A82" s="76" t="s">
        <v>816</v>
      </c>
      <c r="B82" s="79">
        <f>B81*2*0.55</f>
        <v>31460.000000000004</v>
      </c>
      <c r="C82" s="79">
        <f t="shared" ref="C82:I82" si="127">C81*2*0.55</f>
        <v>35970</v>
      </c>
      <c r="D82" s="79">
        <f t="shared" si="127"/>
        <v>40480</v>
      </c>
      <c r="E82" s="79">
        <f t="shared" si="127"/>
        <v>44935</v>
      </c>
      <c r="F82" s="79">
        <f t="shared" si="127"/>
        <v>48565.000000000007</v>
      </c>
      <c r="G82" s="79">
        <f t="shared" si="127"/>
        <v>52140.000000000007</v>
      </c>
      <c r="H82" s="79">
        <f t="shared" si="127"/>
        <v>55770.000000000007</v>
      </c>
      <c r="I82" s="79">
        <f t="shared" si="127"/>
        <v>59345.000000000007</v>
      </c>
      <c r="J82" s="80">
        <f t="shared" ref="J82:J88" si="128">TRUNC(B82/12*0.3)</f>
        <v>786</v>
      </c>
      <c r="K82" s="80">
        <f t="shared" ref="K82:K88" si="129">TRUNC((B82+C82)/2/12*0.3)</f>
        <v>842</v>
      </c>
      <c r="L82" s="80">
        <f t="shared" ref="L82:L88" si="130">TRUNC((D82)/12*0.3)</f>
        <v>1012</v>
      </c>
      <c r="M82" s="80">
        <f t="shared" ref="M82:M88" si="131">TRUNC(((E82+F82)/2)/12*0.3)</f>
        <v>1168</v>
      </c>
      <c r="N82" s="80">
        <f t="shared" ref="N82:N88" si="132">TRUNC(G82/12*0.3)</f>
        <v>1303</v>
      </c>
      <c r="O82" s="80">
        <f t="shared" ref="O82:O88" si="133">TRUNC(((H82+I82)/2)/12*0.3)</f>
        <v>1438</v>
      </c>
      <c r="P82" s="81"/>
      <c r="Q82" s="81"/>
      <c r="R82" s="81"/>
      <c r="S82" s="81"/>
      <c r="T82" s="81"/>
      <c r="U82" s="81"/>
      <c r="V82" s="81"/>
      <c r="W82" s="81"/>
      <c r="X82" s="81"/>
      <c r="Y82" s="81"/>
      <c r="Z82" s="81"/>
      <c r="AA82" s="81"/>
      <c r="AB82" s="81"/>
      <c r="AC82" s="81"/>
      <c r="AD82" s="81"/>
      <c r="AE82" s="81"/>
      <c r="AF82" s="81"/>
    </row>
    <row r="83" spans="1:32">
      <c r="A83" s="76" t="s">
        <v>817</v>
      </c>
      <c r="B83" s="79">
        <f>B81*2*0.6</f>
        <v>34320</v>
      </c>
      <c r="C83" s="79">
        <f t="shared" ref="C83:I83" si="134">C81*2*0.6</f>
        <v>39240</v>
      </c>
      <c r="D83" s="79">
        <f t="shared" si="134"/>
        <v>44160</v>
      </c>
      <c r="E83" s="79">
        <f t="shared" si="134"/>
        <v>49020</v>
      </c>
      <c r="F83" s="79">
        <f t="shared" si="134"/>
        <v>52980</v>
      </c>
      <c r="G83" s="79">
        <f t="shared" si="134"/>
        <v>56880</v>
      </c>
      <c r="H83" s="79">
        <f t="shared" si="134"/>
        <v>60840</v>
      </c>
      <c r="I83" s="79">
        <f t="shared" si="134"/>
        <v>64740</v>
      </c>
      <c r="J83" s="80">
        <f t="shared" si="128"/>
        <v>858</v>
      </c>
      <c r="K83" s="80">
        <f t="shared" si="129"/>
        <v>919</v>
      </c>
      <c r="L83" s="80">
        <f t="shared" si="130"/>
        <v>1104</v>
      </c>
      <c r="M83" s="80">
        <f t="shared" si="131"/>
        <v>1275</v>
      </c>
      <c r="N83" s="80">
        <f t="shared" si="132"/>
        <v>1422</v>
      </c>
      <c r="O83" s="80">
        <f t="shared" si="133"/>
        <v>1569</v>
      </c>
      <c r="P83" s="81"/>
      <c r="Q83" s="81"/>
      <c r="R83" s="81"/>
      <c r="S83" s="81"/>
      <c r="T83" s="81"/>
      <c r="U83" s="81"/>
      <c r="V83" s="81"/>
      <c r="W83" s="81"/>
      <c r="X83" s="81"/>
      <c r="Y83" s="81"/>
      <c r="Z83" s="81"/>
      <c r="AA83" s="81"/>
      <c r="AB83" s="81"/>
      <c r="AC83" s="81"/>
      <c r="AD83" s="81"/>
      <c r="AE83" s="81"/>
      <c r="AF83" s="81"/>
    </row>
    <row r="84" spans="1:32">
      <c r="A84" s="76" t="s">
        <v>818</v>
      </c>
      <c r="B84" s="79">
        <f>B81*2*0.65</f>
        <v>37180</v>
      </c>
      <c r="C84" s="79">
        <f t="shared" ref="C84:I84" si="135">C81*2*0.65</f>
        <v>42510</v>
      </c>
      <c r="D84" s="79">
        <f t="shared" si="135"/>
        <v>47840</v>
      </c>
      <c r="E84" s="79">
        <f t="shared" si="135"/>
        <v>53105</v>
      </c>
      <c r="F84" s="79">
        <f t="shared" si="135"/>
        <v>57395</v>
      </c>
      <c r="G84" s="79">
        <f t="shared" si="135"/>
        <v>61620</v>
      </c>
      <c r="H84" s="79">
        <f t="shared" si="135"/>
        <v>65910</v>
      </c>
      <c r="I84" s="79">
        <f t="shared" si="135"/>
        <v>70135</v>
      </c>
      <c r="J84" s="80">
        <f t="shared" si="128"/>
        <v>929</v>
      </c>
      <c r="K84" s="80">
        <f t="shared" si="129"/>
        <v>996</v>
      </c>
      <c r="L84" s="80">
        <f t="shared" si="130"/>
        <v>1196</v>
      </c>
      <c r="M84" s="80">
        <f t="shared" si="131"/>
        <v>1381</v>
      </c>
      <c r="N84" s="80">
        <f t="shared" si="132"/>
        <v>1540</v>
      </c>
      <c r="O84" s="80">
        <f t="shared" si="133"/>
        <v>1700</v>
      </c>
      <c r="P84" s="81"/>
      <c r="Q84" s="81"/>
      <c r="R84" s="81"/>
      <c r="S84" s="81"/>
      <c r="T84" s="81"/>
      <c r="U84" s="81"/>
      <c r="V84" s="81"/>
      <c r="W84" s="81"/>
      <c r="X84" s="81"/>
      <c r="Y84" s="81"/>
      <c r="Z84" s="81"/>
      <c r="AA84" s="81"/>
      <c r="AB84" s="81"/>
      <c r="AC84" s="81"/>
      <c r="AD84" s="81"/>
      <c r="AE84" s="81"/>
      <c r="AF84" s="81"/>
    </row>
    <row r="85" spans="1:32">
      <c r="A85" s="76" t="s">
        <v>819</v>
      </c>
      <c r="B85" s="79">
        <f>B81*2*0.7</f>
        <v>40040</v>
      </c>
      <c r="C85" s="79">
        <f t="shared" ref="C85:I85" si="136">C81*2*0.7</f>
        <v>45780</v>
      </c>
      <c r="D85" s="79">
        <f t="shared" si="136"/>
        <v>51520</v>
      </c>
      <c r="E85" s="79">
        <f t="shared" si="136"/>
        <v>57190</v>
      </c>
      <c r="F85" s="79">
        <f t="shared" si="136"/>
        <v>61809.999999999993</v>
      </c>
      <c r="G85" s="79">
        <f t="shared" si="136"/>
        <v>66360</v>
      </c>
      <c r="H85" s="79">
        <f t="shared" si="136"/>
        <v>70980</v>
      </c>
      <c r="I85" s="79">
        <f t="shared" si="136"/>
        <v>75530</v>
      </c>
      <c r="J85" s="80">
        <f t="shared" si="128"/>
        <v>1001</v>
      </c>
      <c r="K85" s="80">
        <f t="shared" si="129"/>
        <v>1072</v>
      </c>
      <c r="L85" s="80">
        <f t="shared" si="130"/>
        <v>1288</v>
      </c>
      <c r="M85" s="80">
        <f t="shared" si="131"/>
        <v>1487</v>
      </c>
      <c r="N85" s="80">
        <f t="shared" si="132"/>
        <v>1659</v>
      </c>
      <c r="O85" s="80">
        <f t="shared" si="133"/>
        <v>1831</v>
      </c>
      <c r="P85" s="81"/>
      <c r="Q85" s="81"/>
      <c r="R85" s="81"/>
      <c r="S85" s="81"/>
      <c r="T85" s="81"/>
      <c r="U85" s="81"/>
      <c r="V85" s="81"/>
      <c r="W85" s="81"/>
      <c r="X85" s="81"/>
      <c r="Y85" s="81"/>
      <c r="Z85" s="81"/>
      <c r="AA85" s="81"/>
      <c r="AB85" s="81"/>
      <c r="AC85" s="81"/>
      <c r="AD85" s="81"/>
      <c r="AE85" s="81"/>
      <c r="AF85" s="81"/>
    </row>
    <row r="86" spans="1:32">
      <c r="A86" s="76" t="s">
        <v>820</v>
      </c>
      <c r="B86" s="79">
        <f>B81*2*0.75</f>
        <v>42900</v>
      </c>
      <c r="C86" s="79">
        <f t="shared" ref="C86:I86" si="137">C81*2*0.75</f>
        <v>49050</v>
      </c>
      <c r="D86" s="79">
        <f t="shared" si="137"/>
        <v>55200</v>
      </c>
      <c r="E86" s="79">
        <f t="shared" si="137"/>
        <v>61275</v>
      </c>
      <c r="F86" s="79">
        <f t="shared" si="137"/>
        <v>66225</v>
      </c>
      <c r="G86" s="79">
        <f t="shared" si="137"/>
        <v>71100</v>
      </c>
      <c r="H86" s="79">
        <f t="shared" si="137"/>
        <v>76050</v>
      </c>
      <c r="I86" s="79">
        <f t="shared" si="137"/>
        <v>80925</v>
      </c>
      <c r="J86" s="80">
        <f t="shared" si="128"/>
        <v>1072</v>
      </c>
      <c r="K86" s="80">
        <f t="shared" si="129"/>
        <v>1149</v>
      </c>
      <c r="L86" s="80">
        <f t="shared" si="130"/>
        <v>1380</v>
      </c>
      <c r="M86" s="80">
        <f t="shared" si="131"/>
        <v>1593</v>
      </c>
      <c r="N86" s="80">
        <f t="shared" si="132"/>
        <v>1777</v>
      </c>
      <c r="O86" s="80">
        <f t="shared" si="133"/>
        <v>1962</v>
      </c>
      <c r="P86" s="81"/>
      <c r="Q86" s="81"/>
      <c r="R86" s="81"/>
      <c r="S86" s="81"/>
      <c r="T86" s="81"/>
      <c r="U86" s="81"/>
      <c r="V86" s="81"/>
      <c r="W86" s="81"/>
      <c r="X86" s="81"/>
      <c r="Y86" s="81"/>
      <c r="Z86" s="81"/>
      <c r="AA86" s="81"/>
      <c r="AB86" s="81"/>
      <c r="AC86" s="81"/>
      <c r="AD86" s="81"/>
      <c r="AE86" s="81"/>
      <c r="AF86" s="81"/>
    </row>
    <row r="87" spans="1:32">
      <c r="A87" s="76" t="s">
        <v>821</v>
      </c>
      <c r="B87" s="79">
        <f>B81*2*0.8</f>
        <v>45760</v>
      </c>
      <c r="C87" s="79">
        <f t="shared" ref="C87:I87" si="138">C81*2*0.8</f>
        <v>52320</v>
      </c>
      <c r="D87" s="79">
        <f t="shared" si="138"/>
        <v>58880</v>
      </c>
      <c r="E87" s="79">
        <f t="shared" si="138"/>
        <v>65360</v>
      </c>
      <c r="F87" s="79">
        <f t="shared" si="138"/>
        <v>70640</v>
      </c>
      <c r="G87" s="79">
        <f t="shared" si="138"/>
        <v>75840</v>
      </c>
      <c r="H87" s="79">
        <f t="shared" si="138"/>
        <v>81120</v>
      </c>
      <c r="I87" s="79">
        <f t="shared" si="138"/>
        <v>86320</v>
      </c>
      <c r="J87" s="80">
        <f t="shared" si="128"/>
        <v>1144</v>
      </c>
      <c r="K87" s="80">
        <f t="shared" si="129"/>
        <v>1226</v>
      </c>
      <c r="L87" s="80">
        <f t="shared" si="130"/>
        <v>1472</v>
      </c>
      <c r="M87" s="80">
        <f t="shared" si="131"/>
        <v>1700</v>
      </c>
      <c r="N87" s="80">
        <f t="shared" si="132"/>
        <v>1896</v>
      </c>
      <c r="O87" s="80">
        <f t="shared" si="133"/>
        <v>2093</v>
      </c>
      <c r="P87" s="81"/>
      <c r="Q87" s="81"/>
      <c r="R87" s="81"/>
      <c r="S87" s="81"/>
      <c r="T87" s="81"/>
      <c r="U87" s="81"/>
      <c r="V87" s="81"/>
      <c r="W87" s="81"/>
      <c r="X87" s="81"/>
      <c r="Y87" s="81"/>
      <c r="Z87" s="81"/>
      <c r="AA87" s="81"/>
      <c r="AB87" s="81"/>
      <c r="AC87" s="81"/>
      <c r="AD87" s="81"/>
      <c r="AE87" s="81"/>
      <c r="AF87" s="81"/>
    </row>
    <row r="88" spans="1:32">
      <c r="A88" s="76" t="s">
        <v>822</v>
      </c>
      <c r="B88" s="79">
        <f>B81*2*0.9</f>
        <v>51480</v>
      </c>
      <c r="C88" s="79">
        <f t="shared" ref="C88:I88" si="139">C81*2*0.9</f>
        <v>58860</v>
      </c>
      <c r="D88" s="79">
        <f t="shared" si="139"/>
        <v>66240</v>
      </c>
      <c r="E88" s="79">
        <f t="shared" si="139"/>
        <v>73530</v>
      </c>
      <c r="F88" s="79">
        <f t="shared" si="139"/>
        <v>79470</v>
      </c>
      <c r="G88" s="79">
        <f t="shared" si="139"/>
        <v>85320</v>
      </c>
      <c r="H88" s="79">
        <f t="shared" si="139"/>
        <v>91260</v>
      </c>
      <c r="I88" s="79">
        <f t="shared" si="139"/>
        <v>97110</v>
      </c>
      <c r="J88" s="80">
        <f t="shared" si="128"/>
        <v>1287</v>
      </c>
      <c r="K88" s="80">
        <f t="shared" si="129"/>
        <v>1379</v>
      </c>
      <c r="L88" s="80">
        <f t="shared" si="130"/>
        <v>1656</v>
      </c>
      <c r="M88" s="80">
        <f t="shared" si="131"/>
        <v>1912</v>
      </c>
      <c r="N88" s="80">
        <f t="shared" si="132"/>
        <v>2133</v>
      </c>
      <c r="O88" s="80">
        <f t="shared" si="133"/>
        <v>2354</v>
      </c>
      <c r="P88" s="81"/>
      <c r="Q88" s="81"/>
      <c r="R88" s="81"/>
      <c r="S88" s="81"/>
      <c r="T88" s="81"/>
      <c r="U88" s="81"/>
      <c r="V88" s="81"/>
      <c r="W88" s="81"/>
      <c r="X88" s="81"/>
      <c r="Y88" s="81"/>
      <c r="Z88" s="81"/>
      <c r="AA88" s="81"/>
      <c r="AB88" s="81"/>
      <c r="AC88" s="81"/>
      <c r="AD88" s="81"/>
      <c r="AE88" s="81"/>
      <c r="AF88" s="81"/>
    </row>
    <row r="89" spans="1:32">
      <c r="A89" s="76" t="s">
        <v>823</v>
      </c>
      <c r="B89" s="79">
        <f>B81*2</f>
        <v>57200</v>
      </c>
      <c r="C89" s="79">
        <f t="shared" ref="C89:I89" si="140">C81*2</f>
        <v>65400</v>
      </c>
      <c r="D89" s="79">
        <f t="shared" si="140"/>
        <v>73600</v>
      </c>
      <c r="E89" s="79">
        <f t="shared" si="140"/>
        <v>81700</v>
      </c>
      <c r="F89" s="79">
        <f t="shared" si="140"/>
        <v>88300</v>
      </c>
      <c r="G89" s="79">
        <f t="shared" si="140"/>
        <v>94800</v>
      </c>
      <c r="H89" s="79">
        <f t="shared" si="140"/>
        <v>101400</v>
      </c>
      <c r="I89" s="79">
        <f t="shared" si="140"/>
        <v>107900</v>
      </c>
      <c r="J89" s="80">
        <f>J81*2</f>
        <v>1430</v>
      </c>
      <c r="K89" s="80">
        <f t="shared" ref="K89:O89" si="141">K81*2</f>
        <v>1532</v>
      </c>
      <c r="L89" s="80">
        <f t="shared" si="141"/>
        <v>1840</v>
      </c>
      <c r="M89" s="80">
        <f t="shared" si="141"/>
        <v>2124</v>
      </c>
      <c r="N89" s="80">
        <f t="shared" si="141"/>
        <v>2370</v>
      </c>
      <c r="O89" s="80">
        <f t="shared" si="141"/>
        <v>2616</v>
      </c>
      <c r="P89" s="81"/>
      <c r="Q89" s="81"/>
      <c r="R89" s="81"/>
      <c r="S89" s="81"/>
      <c r="T89" s="81"/>
      <c r="U89" s="81"/>
      <c r="V89" s="81"/>
      <c r="W89" s="81"/>
      <c r="X89" s="81"/>
      <c r="Y89" s="81"/>
      <c r="Z89" s="81"/>
      <c r="AA89" s="81"/>
      <c r="AB89" s="81"/>
      <c r="AC89" s="81"/>
      <c r="AD89" s="81"/>
      <c r="AE89" s="81"/>
      <c r="AF89" s="81"/>
    </row>
    <row r="90" spans="1:32">
      <c r="A90" s="76" t="s">
        <v>824</v>
      </c>
      <c r="B90" s="79">
        <f>B81*2*1.1</f>
        <v>62920.000000000007</v>
      </c>
      <c r="C90" s="79">
        <f t="shared" ref="C90:I90" si="142">C81*2*1.1</f>
        <v>71940</v>
      </c>
      <c r="D90" s="79">
        <f t="shared" si="142"/>
        <v>80960</v>
      </c>
      <c r="E90" s="79">
        <f t="shared" si="142"/>
        <v>89870</v>
      </c>
      <c r="F90" s="79">
        <f t="shared" si="142"/>
        <v>97130.000000000015</v>
      </c>
      <c r="G90" s="79">
        <f t="shared" si="142"/>
        <v>104280.00000000001</v>
      </c>
      <c r="H90" s="79">
        <f t="shared" si="142"/>
        <v>111540.00000000001</v>
      </c>
      <c r="I90" s="79">
        <f t="shared" si="142"/>
        <v>118690.00000000001</v>
      </c>
      <c r="J90" s="80">
        <f t="shared" ref="J90:J98" si="143">TRUNC(B90/12*0.3)</f>
        <v>1573</v>
      </c>
      <c r="K90" s="80">
        <f t="shared" ref="K90:K98" si="144">TRUNC((B90+C90)/2/12*0.3)</f>
        <v>1685</v>
      </c>
      <c r="L90" s="80">
        <f t="shared" ref="L90:L98" si="145">TRUNC((D90)/12*0.3)</f>
        <v>2024</v>
      </c>
      <c r="M90" s="80">
        <f t="shared" ref="M90:M98" si="146">TRUNC(((E90+F90)/2)/12*0.3)</f>
        <v>2337</v>
      </c>
      <c r="N90" s="80">
        <f t="shared" ref="N90:N98" si="147">TRUNC(G90/12*0.3)</f>
        <v>2607</v>
      </c>
      <c r="O90" s="80">
        <f t="shared" ref="O90:O98" si="148">TRUNC(((H90+I90)/2)/12*0.3)</f>
        <v>2877</v>
      </c>
      <c r="P90" s="81"/>
      <c r="Q90" s="81"/>
      <c r="R90" s="81"/>
      <c r="S90" s="81"/>
      <c r="T90" s="81"/>
      <c r="U90" s="81"/>
      <c r="V90" s="81"/>
      <c r="W90" s="81"/>
      <c r="X90" s="81"/>
      <c r="Y90" s="81"/>
      <c r="Z90" s="81"/>
      <c r="AA90" s="81"/>
      <c r="AB90" s="81"/>
      <c r="AC90" s="81"/>
      <c r="AD90" s="81"/>
      <c r="AE90" s="81"/>
      <c r="AF90" s="81"/>
    </row>
    <row r="91" spans="1:32">
      <c r="A91" s="76" t="s">
        <v>825</v>
      </c>
      <c r="B91" s="79">
        <f>B81*2*1.2</f>
        <v>68640</v>
      </c>
      <c r="C91" s="79">
        <f t="shared" ref="C91:I91" si="149">C81*2*1.2</f>
        <v>78480</v>
      </c>
      <c r="D91" s="79">
        <f t="shared" si="149"/>
        <v>88320</v>
      </c>
      <c r="E91" s="79">
        <f t="shared" si="149"/>
        <v>98040</v>
      </c>
      <c r="F91" s="79">
        <f t="shared" si="149"/>
        <v>105960</v>
      </c>
      <c r="G91" s="79">
        <f t="shared" si="149"/>
        <v>113760</v>
      </c>
      <c r="H91" s="79">
        <f t="shared" si="149"/>
        <v>121680</v>
      </c>
      <c r="I91" s="79">
        <f t="shared" si="149"/>
        <v>129480</v>
      </c>
      <c r="J91" s="80">
        <f t="shared" si="143"/>
        <v>1716</v>
      </c>
      <c r="K91" s="80">
        <f t="shared" si="144"/>
        <v>1839</v>
      </c>
      <c r="L91" s="80">
        <f t="shared" si="145"/>
        <v>2208</v>
      </c>
      <c r="M91" s="80">
        <f t="shared" si="146"/>
        <v>2550</v>
      </c>
      <c r="N91" s="80">
        <f t="shared" si="147"/>
        <v>2844</v>
      </c>
      <c r="O91" s="80">
        <f t="shared" si="148"/>
        <v>3139</v>
      </c>
      <c r="P91" s="81"/>
      <c r="Q91" s="81"/>
      <c r="R91" s="81"/>
      <c r="S91" s="81"/>
      <c r="T91" s="81"/>
      <c r="U91" s="81"/>
      <c r="V91" s="81"/>
      <c r="W91" s="81"/>
      <c r="X91" s="81"/>
      <c r="Y91" s="81"/>
      <c r="Z91" s="81"/>
      <c r="AA91" s="81"/>
      <c r="AB91" s="81"/>
      <c r="AC91" s="81"/>
      <c r="AD91" s="81"/>
      <c r="AE91" s="81"/>
      <c r="AF91" s="81"/>
    </row>
    <row r="92" spans="1:32">
      <c r="A92" s="76" t="s">
        <v>826</v>
      </c>
      <c r="B92" s="79">
        <f>B99*2*0.15</f>
        <v>7320</v>
      </c>
      <c r="C92" s="79">
        <f>C99*2*0.15</f>
        <v>8370</v>
      </c>
      <c r="D92" s="79">
        <f>D99*2*0.15</f>
        <v>9420</v>
      </c>
      <c r="E92" s="79">
        <f>E99*2*0.15</f>
        <v>10455</v>
      </c>
      <c r="F92" s="79">
        <f>F99*2*0.15</f>
        <v>11295</v>
      </c>
      <c r="G92" s="79">
        <f t="shared" ref="G92:I92" si="150">G99*2*0.15</f>
        <v>12135</v>
      </c>
      <c r="H92" s="79">
        <f t="shared" si="150"/>
        <v>12975</v>
      </c>
      <c r="I92" s="79">
        <f t="shared" si="150"/>
        <v>13815</v>
      </c>
      <c r="J92" s="80">
        <f t="shared" si="143"/>
        <v>183</v>
      </c>
      <c r="K92" s="80">
        <f t="shared" si="144"/>
        <v>196</v>
      </c>
      <c r="L92" s="80">
        <f t="shared" si="145"/>
        <v>235</v>
      </c>
      <c r="M92" s="80">
        <f t="shared" si="146"/>
        <v>271</v>
      </c>
      <c r="N92" s="80">
        <f t="shared" si="147"/>
        <v>303</v>
      </c>
      <c r="O92" s="80">
        <f t="shared" si="148"/>
        <v>334</v>
      </c>
      <c r="P92" s="81"/>
      <c r="Q92" s="81"/>
      <c r="R92" s="81"/>
      <c r="S92" s="81"/>
      <c r="T92" s="81"/>
      <c r="U92" s="81"/>
      <c r="V92" s="81"/>
      <c r="W92" s="81"/>
      <c r="X92" s="81"/>
      <c r="Y92" s="81"/>
      <c r="Z92" s="81"/>
      <c r="AA92" s="81"/>
      <c r="AB92" s="81"/>
      <c r="AC92" s="81"/>
      <c r="AD92" s="81"/>
      <c r="AE92" s="81"/>
      <c r="AF92" s="81"/>
    </row>
    <row r="93" spans="1:32">
      <c r="A93" s="76" t="s">
        <v>827</v>
      </c>
      <c r="B93" s="79">
        <f>B99*2*0.2</f>
        <v>9760</v>
      </c>
      <c r="C93" s="79">
        <f t="shared" ref="C93:I93" si="151">C99*2*0.2</f>
        <v>11160</v>
      </c>
      <c r="D93" s="79">
        <f t="shared" si="151"/>
        <v>12560</v>
      </c>
      <c r="E93" s="79">
        <f t="shared" si="151"/>
        <v>13940</v>
      </c>
      <c r="F93" s="79">
        <f t="shared" si="151"/>
        <v>15060</v>
      </c>
      <c r="G93" s="79">
        <f t="shared" si="151"/>
        <v>16180</v>
      </c>
      <c r="H93" s="79">
        <f t="shared" si="151"/>
        <v>17300</v>
      </c>
      <c r="I93" s="79">
        <f t="shared" si="151"/>
        <v>18420</v>
      </c>
      <c r="J93" s="80">
        <f t="shared" si="143"/>
        <v>244</v>
      </c>
      <c r="K93" s="80">
        <f t="shared" si="144"/>
        <v>261</v>
      </c>
      <c r="L93" s="80">
        <f t="shared" si="145"/>
        <v>314</v>
      </c>
      <c r="M93" s="80">
        <f t="shared" si="146"/>
        <v>362</v>
      </c>
      <c r="N93" s="80">
        <f t="shared" si="147"/>
        <v>404</v>
      </c>
      <c r="O93" s="80">
        <f t="shared" si="148"/>
        <v>446</v>
      </c>
      <c r="P93" s="81"/>
      <c r="Q93" s="81"/>
      <c r="R93" s="81"/>
      <c r="S93" s="81"/>
      <c r="T93" s="81"/>
      <c r="U93" s="81"/>
      <c r="V93" s="81"/>
      <c r="W93" s="81"/>
      <c r="X93" s="81"/>
      <c r="Y93" s="81"/>
      <c r="Z93" s="81"/>
      <c r="AA93" s="81"/>
      <c r="AB93" s="81"/>
      <c r="AC93" s="81"/>
      <c r="AD93" s="81"/>
      <c r="AE93" s="81"/>
      <c r="AF93" s="81"/>
    </row>
    <row r="94" spans="1:32">
      <c r="A94" s="76" t="s">
        <v>828</v>
      </c>
      <c r="B94" s="79">
        <f>B99*2*0.25</f>
        <v>12200</v>
      </c>
      <c r="C94" s="79">
        <f t="shared" ref="C94:I94" si="152">C99*2*0.25</f>
        <v>13950</v>
      </c>
      <c r="D94" s="79">
        <f t="shared" si="152"/>
        <v>15700</v>
      </c>
      <c r="E94" s="79">
        <f t="shared" si="152"/>
        <v>17425</v>
      </c>
      <c r="F94" s="79">
        <f t="shared" si="152"/>
        <v>18825</v>
      </c>
      <c r="G94" s="79">
        <f t="shared" si="152"/>
        <v>20225</v>
      </c>
      <c r="H94" s="79">
        <f t="shared" si="152"/>
        <v>21625</v>
      </c>
      <c r="I94" s="79">
        <f t="shared" si="152"/>
        <v>23025</v>
      </c>
      <c r="J94" s="80">
        <f t="shared" si="143"/>
        <v>305</v>
      </c>
      <c r="K94" s="80">
        <f t="shared" si="144"/>
        <v>326</v>
      </c>
      <c r="L94" s="80">
        <f t="shared" si="145"/>
        <v>392</v>
      </c>
      <c r="M94" s="80">
        <f t="shared" si="146"/>
        <v>453</v>
      </c>
      <c r="N94" s="80">
        <f t="shared" si="147"/>
        <v>505</v>
      </c>
      <c r="O94" s="80">
        <f t="shared" si="148"/>
        <v>558</v>
      </c>
      <c r="P94" s="81"/>
      <c r="Q94" s="81"/>
      <c r="R94" s="81"/>
      <c r="S94" s="81"/>
      <c r="T94" s="81"/>
      <c r="U94" s="81"/>
      <c r="V94" s="81"/>
      <c r="W94" s="81"/>
      <c r="X94" s="81"/>
      <c r="Y94" s="81"/>
      <c r="Z94" s="81"/>
      <c r="AA94" s="81"/>
      <c r="AB94" s="81"/>
      <c r="AC94" s="81"/>
      <c r="AD94" s="81"/>
      <c r="AE94" s="81"/>
      <c r="AF94" s="81"/>
    </row>
    <row r="95" spans="1:32">
      <c r="A95" s="76" t="s">
        <v>829</v>
      </c>
      <c r="B95" s="79">
        <f>B99*2*0.3</f>
        <v>14640</v>
      </c>
      <c r="C95" s="79">
        <f t="shared" ref="C95:I95" si="153">C99*2*0.3</f>
        <v>16740</v>
      </c>
      <c r="D95" s="79">
        <f t="shared" si="153"/>
        <v>18840</v>
      </c>
      <c r="E95" s="79">
        <f t="shared" si="153"/>
        <v>20910</v>
      </c>
      <c r="F95" s="79">
        <f t="shared" si="153"/>
        <v>22590</v>
      </c>
      <c r="G95" s="79">
        <f t="shared" si="153"/>
        <v>24270</v>
      </c>
      <c r="H95" s="79">
        <f t="shared" si="153"/>
        <v>25950</v>
      </c>
      <c r="I95" s="79">
        <f t="shared" si="153"/>
        <v>27630</v>
      </c>
      <c r="J95" s="80">
        <f t="shared" si="143"/>
        <v>366</v>
      </c>
      <c r="K95" s="80">
        <f t="shared" si="144"/>
        <v>392</v>
      </c>
      <c r="L95" s="80">
        <f t="shared" si="145"/>
        <v>471</v>
      </c>
      <c r="M95" s="80">
        <f t="shared" si="146"/>
        <v>543</v>
      </c>
      <c r="N95" s="80">
        <f t="shared" si="147"/>
        <v>606</v>
      </c>
      <c r="O95" s="80">
        <f t="shared" si="148"/>
        <v>669</v>
      </c>
      <c r="P95" s="81"/>
      <c r="Q95" s="81"/>
      <c r="R95" s="81"/>
      <c r="S95" s="81"/>
      <c r="T95" s="81"/>
      <c r="U95" s="81"/>
      <c r="V95" s="81"/>
      <c r="W95" s="81"/>
      <c r="X95" s="81"/>
      <c r="Y95" s="81"/>
      <c r="Z95" s="81"/>
      <c r="AA95" s="81"/>
      <c r="AB95" s="81"/>
      <c r="AC95" s="81"/>
      <c r="AD95" s="81"/>
      <c r="AE95" s="81"/>
      <c r="AF95" s="81"/>
    </row>
    <row r="96" spans="1:32">
      <c r="A96" s="76" t="s">
        <v>830</v>
      </c>
      <c r="B96" s="79">
        <f>B99*2*0.35</f>
        <v>17080</v>
      </c>
      <c r="C96" s="79">
        <f t="shared" ref="C96:I96" si="154">C99*2*0.35</f>
        <v>19530</v>
      </c>
      <c r="D96" s="79">
        <f t="shared" si="154"/>
        <v>21980</v>
      </c>
      <c r="E96" s="79">
        <f t="shared" si="154"/>
        <v>24395</v>
      </c>
      <c r="F96" s="79">
        <f t="shared" si="154"/>
        <v>26355</v>
      </c>
      <c r="G96" s="79">
        <f t="shared" si="154"/>
        <v>28315</v>
      </c>
      <c r="H96" s="79">
        <f t="shared" si="154"/>
        <v>30274.999999999996</v>
      </c>
      <c r="I96" s="79">
        <f t="shared" si="154"/>
        <v>32234.999999999996</v>
      </c>
      <c r="J96" s="80">
        <f t="shared" si="143"/>
        <v>427</v>
      </c>
      <c r="K96" s="80">
        <f t="shared" si="144"/>
        <v>457</v>
      </c>
      <c r="L96" s="80">
        <f t="shared" si="145"/>
        <v>549</v>
      </c>
      <c r="M96" s="80">
        <f t="shared" si="146"/>
        <v>634</v>
      </c>
      <c r="N96" s="80">
        <f t="shared" si="147"/>
        <v>707</v>
      </c>
      <c r="O96" s="80">
        <f t="shared" si="148"/>
        <v>781</v>
      </c>
      <c r="P96" s="81"/>
      <c r="Q96" s="81"/>
      <c r="R96" s="81"/>
      <c r="S96" s="81"/>
      <c r="T96" s="81"/>
      <c r="U96" s="81"/>
      <c r="V96" s="81"/>
      <c r="W96" s="81"/>
      <c r="X96" s="81"/>
      <c r="Y96" s="81"/>
      <c r="Z96" s="81"/>
      <c r="AA96" s="81"/>
      <c r="AB96" s="81"/>
      <c r="AC96" s="81"/>
      <c r="AD96" s="81"/>
      <c r="AE96" s="81"/>
      <c r="AF96" s="81"/>
    </row>
    <row r="97" spans="1:32">
      <c r="A97" s="76" t="s">
        <v>831</v>
      </c>
      <c r="B97" s="79">
        <f>B99*2*0.4</f>
        <v>19520</v>
      </c>
      <c r="C97" s="79">
        <f t="shared" ref="C97:I97" si="155">C99*2*0.4</f>
        <v>22320</v>
      </c>
      <c r="D97" s="79">
        <f t="shared" si="155"/>
        <v>25120</v>
      </c>
      <c r="E97" s="79">
        <f t="shared" si="155"/>
        <v>27880</v>
      </c>
      <c r="F97" s="79">
        <f t="shared" si="155"/>
        <v>30120</v>
      </c>
      <c r="G97" s="79">
        <f t="shared" si="155"/>
        <v>32360</v>
      </c>
      <c r="H97" s="79">
        <f t="shared" si="155"/>
        <v>34600</v>
      </c>
      <c r="I97" s="79">
        <f t="shared" si="155"/>
        <v>36840</v>
      </c>
      <c r="J97" s="80">
        <f t="shared" si="143"/>
        <v>488</v>
      </c>
      <c r="K97" s="80">
        <f t="shared" si="144"/>
        <v>523</v>
      </c>
      <c r="L97" s="80">
        <f t="shared" si="145"/>
        <v>628</v>
      </c>
      <c r="M97" s="80">
        <f t="shared" si="146"/>
        <v>725</v>
      </c>
      <c r="N97" s="80">
        <f t="shared" si="147"/>
        <v>809</v>
      </c>
      <c r="O97" s="80">
        <f t="shared" si="148"/>
        <v>893</v>
      </c>
      <c r="P97" s="81"/>
      <c r="Q97" s="81"/>
      <c r="R97" s="81"/>
      <c r="S97" s="81"/>
      <c r="T97" s="81"/>
      <c r="U97" s="81"/>
      <c r="V97" s="81"/>
      <c r="W97" s="81"/>
      <c r="X97" s="81"/>
      <c r="Y97" s="81"/>
      <c r="Z97" s="81"/>
      <c r="AA97" s="81"/>
      <c r="AB97" s="81"/>
      <c r="AC97" s="81"/>
      <c r="AD97" s="81"/>
      <c r="AE97" s="81"/>
      <c r="AF97" s="81"/>
    </row>
    <row r="98" spans="1:32">
      <c r="A98" s="76" t="s">
        <v>832</v>
      </c>
      <c r="B98" s="79">
        <f>B99*2*0.45</f>
        <v>21960</v>
      </c>
      <c r="C98" s="79">
        <f t="shared" ref="C98:I98" si="156">C99*2*0.45</f>
        <v>25110</v>
      </c>
      <c r="D98" s="79">
        <f t="shared" si="156"/>
        <v>28260</v>
      </c>
      <c r="E98" s="79">
        <f t="shared" si="156"/>
        <v>31365</v>
      </c>
      <c r="F98" s="79">
        <f t="shared" si="156"/>
        <v>33885</v>
      </c>
      <c r="G98" s="79">
        <f t="shared" si="156"/>
        <v>36405</v>
      </c>
      <c r="H98" s="79">
        <f t="shared" si="156"/>
        <v>38925</v>
      </c>
      <c r="I98" s="79">
        <f t="shared" si="156"/>
        <v>41445</v>
      </c>
      <c r="J98" s="80">
        <f t="shared" si="143"/>
        <v>549</v>
      </c>
      <c r="K98" s="80">
        <f t="shared" si="144"/>
        <v>588</v>
      </c>
      <c r="L98" s="80">
        <f t="shared" si="145"/>
        <v>706</v>
      </c>
      <c r="M98" s="80">
        <f t="shared" si="146"/>
        <v>815</v>
      </c>
      <c r="N98" s="80">
        <f t="shared" si="147"/>
        <v>910</v>
      </c>
      <c r="O98" s="80">
        <f t="shared" si="148"/>
        <v>1004</v>
      </c>
      <c r="P98" s="81"/>
      <c r="Q98" s="81"/>
      <c r="R98" s="81"/>
      <c r="S98" s="81"/>
      <c r="T98" s="81"/>
      <c r="U98" s="81"/>
      <c r="V98" s="81"/>
      <c r="W98" s="81"/>
      <c r="X98" s="81"/>
      <c r="Y98" s="81"/>
      <c r="Z98" s="81"/>
      <c r="AA98" s="81"/>
      <c r="AB98" s="81"/>
      <c r="AC98" s="81"/>
      <c r="AD98" s="81"/>
      <c r="AE98" s="81"/>
      <c r="AF98" s="81"/>
    </row>
    <row r="99" spans="1:32">
      <c r="A99" s="82" t="s">
        <v>833</v>
      </c>
      <c r="B99" s="84">
        <f>'MTSP 50% Income Limits '!B7</f>
        <v>24400</v>
      </c>
      <c r="C99" s="84">
        <f>'MTSP 50% Income Limits '!C7</f>
        <v>27900</v>
      </c>
      <c r="D99" s="84">
        <f>'MTSP 50% Income Limits '!D7</f>
        <v>31400</v>
      </c>
      <c r="E99" s="84">
        <f>'MTSP 50% Income Limits '!E7</f>
        <v>34850</v>
      </c>
      <c r="F99" s="84">
        <f>'MTSP 50% Income Limits '!F7</f>
        <v>37650</v>
      </c>
      <c r="G99" s="84">
        <f>'MTSP 50% Income Limits '!G7</f>
        <v>40450</v>
      </c>
      <c r="H99" s="84">
        <f>'MTSP 50% Income Limits '!H7</f>
        <v>43250</v>
      </c>
      <c r="I99" s="84">
        <f>'MTSP 50% Income Limits '!I7</f>
        <v>46050</v>
      </c>
      <c r="J99" s="83">
        <f>TRUNC(B99/12*0.3)</f>
        <v>610</v>
      </c>
      <c r="K99" s="83">
        <f>TRUNC((B99+C99)/2/12*0.3)</f>
        <v>653</v>
      </c>
      <c r="L99" s="83">
        <f>TRUNC((D99)/12*0.3)</f>
        <v>785</v>
      </c>
      <c r="M99" s="83">
        <f>TRUNC(((E99+F99)/2)/12*0.3)</f>
        <v>906</v>
      </c>
      <c r="N99" s="83">
        <f>TRUNC(G99/12*0.3)</f>
        <v>1011</v>
      </c>
      <c r="O99" s="83">
        <f>TRUNC(((H99+I99)/2)/12*0.3)</f>
        <v>1116</v>
      </c>
      <c r="P99" s="81"/>
      <c r="Q99" s="81"/>
      <c r="R99" s="81"/>
      <c r="S99" s="81"/>
      <c r="T99" s="81"/>
      <c r="U99" s="81"/>
      <c r="V99" s="81"/>
      <c r="W99" s="81"/>
      <c r="X99" s="81"/>
      <c r="Y99" s="81"/>
      <c r="Z99" s="81"/>
      <c r="AA99" s="81"/>
      <c r="AB99" s="81"/>
      <c r="AC99" s="81"/>
      <c r="AD99" s="81"/>
      <c r="AE99" s="81"/>
      <c r="AF99" s="81"/>
    </row>
    <row r="100" spans="1:32">
      <c r="A100" s="76" t="s">
        <v>834</v>
      </c>
      <c r="B100" s="79">
        <f>B99*2*0.55</f>
        <v>26840.000000000004</v>
      </c>
      <c r="C100" s="79">
        <f t="shared" ref="C100:I100" si="157">C99*2*0.55</f>
        <v>30690.000000000004</v>
      </c>
      <c r="D100" s="79">
        <f t="shared" si="157"/>
        <v>34540</v>
      </c>
      <c r="E100" s="79">
        <f t="shared" si="157"/>
        <v>38335</v>
      </c>
      <c r="F100" s="79">
        <f t="shared" si="157"/>
        <v>41415</v>
      </c>
      <c r="G100" s="79">
        <f t="shared" si="157"/>
        <v>44495</v>
      </c>
      <c r="H100" s="79">
        <f t="shared" si="157"/>
        <v>47575.000000000007</v>
      </c>
      <c r="I100" s="79">
        <f t="shared" si="157"/>
        <v>50655.000000000007</v>
      </c>
      <c r="J100" s="80">
        <f t="shared" ref="J100:J106" si="158">TRUNC(B100/12*0.3)</f>
        <v>671</v>
      </c>
      <c r="K100" s="80">
        <f t="shared" ref="K100:K106" si="159">TRUNC((B100+C100)/2/12*0.3)</f>
        <v>719</v>
      </c>
      <c r="L100" s="80">
        <f t="shared" ref="L100:L106" si="160">TRUNC((D100)/12*0.3)</f>
        <v>863</v>
      </c>
      <c r="M100" s="80">
        <f t="shared" ref="M100:M106" si="161">TRUNC(((E100+F100)/2)/12*0.3)</f>
        <v>996</v>
      </c>
      <c r="N100" s="80">
        <f t="shared" ref="N100:N106" si="162">TRUNC(G100/12*0.3)</f>
        <v>1112</v>
      </c>
      <c r="O100" s="80">
        <f t="shared" ref="O100:O106" si="163">TRUNC(((H100+I100)/2)/12*0.3)</f>
        <v>1227</v>
      </c>
      <c r="P100" s="81"/>
      <c r="Q100" s="81"/>
      <c r="R100" s="81"/>
      <c r="S100" s="81"/>
      <c r="T100" s="81"/>
      <c r="U100" s="81"/>
      <c r="V100" s="81"/>
      <c r="W100" s="81"/>
      <c r="X100" s="81"/>
      <c r="Y100" s="81"/>
      <c r="Z100" s="81"/>
      <c r="AA100" s="81"/>
      <c r="AB100" s="81"/>
      <c r="AC100" s="81"/>
      <c r="AD100" s="81"/>
      <c r="AE100" s="81"/>
      <c r="AF100" s="81"/>
    </row>
    <row r="101" spans="1:32">
      <c r="A101" s="76" t="s">
        <v>835</v>
      </c>
      <c r="B101" s="79">
        <f>B99*2*0.6</f>
        <v>29280</v>
      </c>
      <c r="C101" s="79">
        <f t="shared" ref="C101:I101" si="164">C99*2*0.6</f>
        <v>33480</v>
      </c>
      <c r="D101" s="79">
        <f t="shared" si="164"/>
        <v>37680</v>
      </c>
      <c r="E101" s="79">
        <f t="shared" si="164"/>
        <v>41820</v>
      </c>
      <c r="F101" s="79">
        <f t="shared" si="164"/>
        <v>45180</v>
      </c>
      <c r="G101" s="79">
        <f t="shared" si="164"/>
        <v>48540</v>
      </c>
      <c r="H101" s="79">
        <f t="shared" si="164"/>
        <v>51900</v>
      </c>
      <c r="I101" s="79">
        <f t="shared" si="164"/>
        <v>55260</v>
      </c>
      <c r="J101" s="80">
        <f t="shared" si="158"/>
        <v>732</v>
      </c>
      <c r="K101" s="80">
        <f t="shared" si="159"/>
        <v>784</v>
      </c>
      <c r="L101" s="80">
        <f t="shared" si="160"/>
        <v>942</v>
      </c>
      <c r="M101" s="80">
        <f t="shared" si="161"/>
        <v>1087</v>
      </c>
      <c r="N101" s="80">
        <f t="shared" si="162"/>
        <v>1213</v>
      </c>
      <c r="O101" s="80">
        <f t="shared" si="163"/>
        <v>1339</v>
      </c>
      <c r="P101" s="81"/>
      <c r="Q101" s="81"/>
      <c r="R101" s="81"/>
      <c r="S101" s="81"/>
      <c r="T101" s="81"/>
      <c r="U101" s="81"/>
      <c r="V101" s="81"/>
      <c r="W101" s="81"/>
      <c r="X101" s="81"/>
      <c r="Y101" s="81"/>
      <c r="Z101" s="81"/>
      <c r="AA101" s="81"/>
      <c r="AB101" s="81"/>
      <c r="AC101" s="81"/>
      <c r="AD101" s="81"/>
      <c r="AE101" s="81"/>
      <c r="AF101" s="81"/>
    </row>
    <row r="102" spans="1:32">
      <c r="A102" s="76" t="s">
        <v>836</v>
      </c>
      <c r="B102" s="79">
        <f>B99*2*0.65</f>
        <v>31720</v>
      </c>
      <c r="C102" s="79">
        <f t="shared" ref="C102:I102" si="165">C99*2*0.65</f>
        <v>36270</v>
      </c>
      <c r="D102" s="79">
        <f t="shared" si="165"/>
        <v>40820</v>
      </c>
      <c r="E102" s="79">
        <f t="shared" si="165"/>
        <v>45305</v>
      </c>
      <c r="F102" s="79">
        <f t="shared" si="165"/>
        <v>48945</v>
      </c>
      <c r="G102" s="79">
        <f t="shared" si="165"/>
        <v>52585</v>
      </c>
      <c r="H102" s="79">
        <f t="shared" si="165"/>
        <v>56225</v>
      </c>
      <c r="I102" s="79">
        <f t="shared" si="165"/>
        <v>59865</v>
      </c>
      <c r="J102" s="80">
        <f t="shared" si="158"/>
        <v>793</v>
      </c>
      <c r="K102" s="80">
        <f t="shared" si="159"/>
        <v>849</v>
      </c>
      <c r="L102" s="80">
        <f t="shared" si="160"/>
        <v>1020</v>
      </c>
      <c r="M102" s="80">
        <f t="shared" si="161"/>
        <v>1178</v>
      </c>
      <c r="N102" s="80">
        <f t="shared" si="162"/>
        <v>1314</v>
      </c>
      <c r="O102" s="80">
        <f t="shared" si="163"/>
        <v>1451</v>
      </c>
      <c r="P102" s="81"/>
      <c r="Q102" s="81"/>
      <c r="R102" s="81"/>
      <c r="S102" s="81"/>
      <c r="T102" s="81"/>
      <c r="U102" s="81"/>
      <c r="V102" s="81"/>
      <c r="W102" s="81"/>
      <c r="X102" s="81"/>
      <c r="Y102" s="81"/>
      <c r="Z102" s="81"/>
      <c r="AA102" s="81"/>
      <c r="AB102" s="81"/>
      <c r="AC102" s="81"/>
      <c r="AD102" s="81"/>
      <c r="AE102" s="81"/>
      <c r="AF102" s="81"/>
    </row>
    <row r="103" spans="1:32">
      <c r="A103" s="76" t="s">
        <v>837</v>
      </c>
      <c r="B103" s="79">
        <f>B99*2*0.7</f>
        <v>34160</v>
      </c>
      <c r="C103" s="79">
        <f t="shared" ref="C103:I103" si="166">C99*2*0.7</f>
        <v>39060</v>
      </c>
      <c r="D103" s="79">
        <f t="shared" si="166"/>
        <v>43960</v>
      </c>
      <c r="E103" s="79">
        <f t="shared" si="166"/>
        <v>48790</v>
      </c>
      <c r="F103" s="79">
        <f t="shared" si="166"/>
        <v>52710</v>
      </c>
      <c r="G103" s="79">
        <f t="shared" si="166"/>
        <v>56630</v>
      </c>
      <c r="H103" s="79">
        <f t="shared" si="166"/>
        <v>60549.999999999993</v>
      </c>
      <c r="I103" s="79">
        <f t="shared" si="166"/>
        <v>64469.999999999993</v>
      </c>
      <c r="J103" s="80">
        <f t="shared" si="158"/>
        <v>854</v>
      </c>
      <c r="K103" s="80">
        <f t="shared" si="159"/>
        <v>915</v>
      </c>
      <c r="L103" s="80">
        <f t="shared" si="160"/>
        <v>1099</v>
      </c>
      <c r="M103" s="80">
        <f t="shared" si="161"/>
        <v>1268</v>
      </c>
      <c r="N103" s="80">
        <f t="shared" si="162"/>
        <v>1415</v>
      </c>
      <c r="O103" s="80">
        <f t="shared" si="163"/>
        <v>1562</v>
      </c>
      <c r="P103" s="81"/>
      <c r="Q103" s="81"/>
      <c r="R103" s="81"/>
      <c r="S103" s="81"/>
      <c r="T103" s="81"/>
      <c r="U103" s="81"/>
      <c r="V103" s="81"/>
      <c r="W103" s="81"/>
      <c r="X103" s="81"/>
      <c r="Y103" s="81"/>
      <c r="Z103" s="81"/>
      <c r="AA103" s="81"/>
      <c r="AB103" s="81"/>
      <c r="AC103" s="81"/>
      <c r="AD103" s="81"/>
      <c r="AE103" s="81"/>
      <c r="AF103" s="81"/>
    </row>
    <row r="104" spans="1:32">
      <c r="A104" s="76" t="s">
        <v>838</v>
      </c>
      <c r="B104" s="79">
        <f>B99*2*0.75</f>
        <v>36600</v>
      </c>
      <c r="C104" s="79">
        <f t="shared" ref="C104:I104" si="167">C99*2*0.75</f>
        <v>41850</v>
      </c>
      <c r="D104" s="79">
        <f t="shared" si="167"/>
        <v>47100</v>
      </c>
      <c r="E104" s="79">
        <f t="shared" si="167"/>
        <v>52275</v>
      </c>
      <c r="F104" s="79">
        <f t="shared" si="167"/>
        <v>56475</v>
      </c>
      <c r="G104" s="79">
        <f t="shared" si="167"/>
        <v>60675</v>
      </c>
      <c r="H104" s="79">
        <f t="shared" si="167"/>
        <v>64875</v>
      </c>
      <c r="I104" s="79">
        <f t="shared" si="167"/>
        <v>69075</v>
      </c>
      <c r="J104" s="80">
        <f t="shared" si="158"/>
        <v>915</v>
      </c>
      <c r="K104" s="80">
        <f t="shared" si="159"/>
        <v>980</v>
      </c>
      <c r="L104" s="80">
        <f t="shared" si="160"/>
        <v>1177</v>
      </c>
      <c r="M104" s="80">
        <f t="shared" si="161"/>
        <v>1359</v>
      </c>
      <c r="N104" s="80">
        <f t="shared" si="162"/>
        <v>1516</v>
      </c>
      <c r="O104" s="80">
        <f t="shared" si="163"/>
        <v>1674</v>
      </c>
      <c r="P104" s="81"/>
      <c r="Q104" s="81"/>
      <c r="R104" s="81"/>
      <c r="S104" s="81"/>
      <c r="T104" s="81"/>
      <c r="U104" s="81"/>
      <c r="V104" s="81"/>
      <c r="W104" s="81"/>
      <c r="X104" s="81"/>
      <c r="Y104" s="81"/>
      <c r="Z104" s="81"/>
      <c r="AA104" s="81"/>
      <c r="AB104" s="81"/>
      <c r="AC104" s="81"/>
      <c r="AD104" s="81"/>
      <c r="AE104" s="81"/>
      <c r="AF104" s="81"/>
    </row>
    <row r="105" spans="1:32">
      <c r="A105" s="76" t="s">
        <v>839</v>
      </c>
      <c r="B105" s="79">
        <f>B99*2*0.8</f>
        <v>39040</v>
      </c>
      <c r="C105" s="79">
        <f t="shared" ref="C105:I105" si="168">C99*2*0.8</f>
        <v>44640</v>
      </c>
      <c r="D105" s="79">
        <f t="shared" si="168"/>
        <v>50240</v>
      </c>
      <c r="E105" s="79">
        <f t="shared" si="168"/>
        <v>55760</v>
      </c>
      <c r="F105" s="79">
        <f t="shared" si="168"/>
        <v>60240</v>
      </c>
      <c r="G105" s="79">
        <f t="shared" si="168"/>
        <v>64720</v>
      </c>
      <c r="H105" s="79">
        <f t="shared" si="168"/>
        <v>69200</v>
      </c>
      <c r="I105" s="79">
        <f t="shared" si="168"/>
        <v>73680</v>
      </c>
      <c r="J105" s="80">
        <f t="shared" si="158"/>
        <v>976</v>
      </c>
      <c r="K105" s="80">
        <f t="shared" si="159"/>
        <v>1046</v>
      </c>
      <c r="L105" s="80">
        <f t="shared" si="160"/>
        <v>1256</v>
      </c>
      <c r="M105" s="80">
        <f t="shared" si="161"/>
        <v>1450</v>
      </c>
      <c r="N105" s="80">
        <f t="shared" si="162"/>
        <v>1618</v>
      </c>
      <c r="O105" s="80">
        <f t="shared" si="163"/>
        <v>1786</v>
      </c>
      <c r="P105" s="81"/>
      <c r="Q105" s="81"/>
      <c r="R105" s="81"/>
      <c r="S105" s="81"/>
      <c r="T105" s="81"/>
      <c r="U105" s="81"/>
      <c r="V105" s="81"/>
      <c r="W105" s="81"/>
      <c r="X105" s="81"/>
      <c r="Y105" s="81"/>
      <c r="Z105" s="81"/>
      <c r="AA105" s="81"/>
      <c r="AB105" s="81"/>
      <c r="AC105" s="81"/>
      <c r="AD105" s="81"/>
      <c r="AE105" s="81"/>
      <c r="AF105" s="81"/>
    </row>
    <row r="106" spans="1:32">
      <c r="A106" s="76" t="s">
        <v>840</v>
      </c>
      <c r="B106" s="79">
        <f>B99*2*0.9</f>
        <v>43920</v>
      </c>
      <c r="C106" s="79">
        <f t="shared" ref="C106:I106" si="169">C99*2*0.9</f>
        <v>50220</v>
      </c>
      <c r="D106" s="79">
        <f t="shared" si="169"/>
        <v>56520</v>
      </c>
      <c r="E106" s="79">
        <f t="shared" si="169"/>
        <v>62730</v>
      </c>
      <c r="F106" s="79">
        <f t="shared" si="169"/>
        <v>67770</v>
      </c>
      <c r="G106" s="79">
        <f t="shared" si="169"/>
        <v>72810</v>
      </c>
      <c r="H106" s="79">
        <f t="shared" si="169"/>
        <v>77850</v>
      </c>
      <c r="I106" s="79">
        <f t="shared" si="169"/>
        <v>82890</v>
      </c>
      <c r="J106" s="80">
        <f t="shared" si="158"/>
        <v>1098</v>
      </c>
      <c r="K106" s="80">
        <f t="shared" si="159"/>
        <v>1176</v>
      </c>
      <c r="L106" s="80">
        <f t="shared" si="160"/>
        <v>1413</v>
      </c>
      <c r="M106" s="80">
        <f t="shared" si="161"/>
        <v>1631</v>
      </c>
      <c r="N106" s="80">
        <f t="shared" si="162"/>
        <v>1820</v>
      </c>
      <c r="O106" s="80">
        <f t="shared" si="163"/>
        <v>2009</v>
      </c>
      <c r="P106" s="81"/>
      <c r="Q106" s="81"/>
      <c r="R106" s="81"/>
      <c r="S106" s="81"/>
      <c r="T106" s="81"/>
      <c r="U106" s="81"/>
      <c r="V106" s="81"/>
      <c r="W106" s="81"/>
      <c r="X106" s="81"/>
      <c r="Y106" s="81"/>
      <c r="Z106" s="81"/>
      <c r="AA106" s="81"/>
      <c r="AB106" s="81"/>
      <c r="AC106" s="81"/>
      <c r="AD106" s="81"/>
      <c r="AE106" s="81"/>
      <c r="AF106" s="81"/>
    </row>
    <row r="107" spans="1:32">
      <c r="A107" s="76" t="s">
        <v>841</v>
      </c>
      <c r="B107" s="79">
        <f>B99*2</f>
        <v>48800</v>
      </c>
      <c r="C107" s="79">
        <f t="shared" ref="C107:I107" si="170">C99*2</f>
        <v>55800</v>
      </c>
      <c r="D107" s="79">
        <f t="shared" si="170"/>
        <v>62800</v>
      </c>
      <c r="E107" s="79">
        <f t="shared" si="170"/>
        <v>69700</v>
      </c>
      <c r="F107" s="79">
        <f t="shared" si="170"/>
        <v>75300</v>
      </c>
      <c r="G107" s="79">
        <f t="shared" si="170"/>
        <v>80900</v>
      </c>
      <c r="H107" s="79">
        <f t="shared" si="170"/>
        <v>86500</v>
      </c>
      <c r="I107" s="79">
        <f t="shared" si="170"/>
        <v>92100</v>
      </c>
      <c r="J107" s="80">
        <f>J99*2</f>
        <v>1220</v>
      </c>
      <c r="K107" s="80">
        <f t="shared" ref="K107:O107" si="171">K99*2</f>
        <v>1306</v>
      </c>
      <c r="L107" s="80">
        <f t="shared" si="171"/>
        <v>1570</v>
      </c>
      <c r="M107" s="80">
        <f t="shared" si="171"/>
        <v>1812</v>
      </c>
      <c r="N107" s="80">
        <f t="shared" si="171"/>
        <v>2022</v>
      </c>
      <c r="O107" s="80">
        <f t="shared" si="171"/>
        <v>2232</v>
      </c>
      <c r="P107" s="81"/>
      <c r="Q107" s="81"/>
      <c r="R107" s="81"/>
      <c r="S107" s="81"/>
      <c r="T107" s="81"/>
      <c r="U107" s="81"/>
      <c r="V107" s="81"/>
      <c r="W107" s="81"/>
      <c r="X107" s="81"/>
      <c r="Y107" s="81"/>
      <c r="Z107" s="81"/>
      <c r="AA107" s="81"/>
      <c r="AB107" s="81"/>
      <c r="AC107" s="81"/>
      <c r="AD107" s="81"/>
      <c r="AE107" s="81"/>
      <c r="AF107" s="81"/>
    </row>
    <row r="108" spans="1:32">
      <c r="A108" s="76" t="s">
        <v>842</v>
      </c>
      <c r="B108" s="79">
        <f>B99*2*1.1</f>
        <v>53680.000000000007</v>
      </c>
      <c r="C108" s="79">
        <f t="shared" ref="C108:I108" si="172">C99*2*1.1</f>
        <v>61380.000000000007</v>
      </c>
      <c r="D108" s="79">
        <f t="shared" si="172"/>
        <v>69080</v>
      </c>
      <c r="E108" s="79">
        <f t="shared" si="172"/>
        <v>76670</v>
      </c>
      <c r="F108" s="79">
        <f t="shared" si="172"/>
        <v>82830</v>
      </c>
      <c r="G108" s="79">
        <f t="shared" si="172"/>
        <v>88990</v>
      </c>
      <c r="H108" s="79">
        <f t="shared" si="172"/>
        <v>95150.000000000015</v>
      </c>
      <c r="I108" s="79">
        <f t="shared" si="172"/>
        <v>101310.00000000001</v>
      </c>
      <c r="J108" s="80">
        <f t="shared" ref="J108:J116" si="173">TRUNC(B108/12*0.3)</f>
        <v>1342</v>
      </c>
      <c r="K108" s="80">
        <f t="shared" ref="K108:K116" si="174">TRUNC((B108+C108)/2/12*0.3)</f>
        <v>1438</v>
      </c>
      <c r="L108" s="80">
        <f t="shared" ref="L108:L116" si="175">TRUNC((D108)/12*0.3)</f>
        <v>1727</v>
      </c>
      <c r="M108" s="80">
        <f t="shared" ref="M108:M116" si="176">TRUNC(((E108+F108)/2)/12*0.3)</f>
        <v>1993</v>
      </c>
      <c r="N108" s="80">
        <f t="shared" ref="N108:N116" si="177">TRUNC(G108/12*0.3)</f>
        <v>2224</v>
      </c>
      <c r="O108" s="80">
        <f t="shared" ref="O108:O116" si="178">TRUNC(((H108+I108)/2)/12*0.3)</f>
        <v>2455</v>
      </c>
      <c r="P108" s="81"/>
      <c r="Q108" s="81"/>
      <c r="R108" s="81"/>
      <c r="S108" s="81"/>
      <c r="T108" s="81"/>
      <c r="U108" s="81"/>
      <c r="V108" s="81"/>
      <c r="W108" s="81"/>
      <c r="X108" s="81"/>
      <c r="Y108" s="81"/>
      <c r="Z108" s="81"/>
      <c r="AA108" s="81"/>
      <c r="AB108" s="81"/>
      <c r="AC108" s="81"/>
      <c r="AD108" s="81"/>
      <c r="AE108" s="81"/>
      <c r="AF108" s="81"/>
    </row>
    <row r="109" spans="1:32">
      <c r="A109" s="76" t="s">
        <v>843</v>
      </c>
      <c r="B109" s="79">
        <f>B99*2*1.2</f>
        <v>58560</v>
      </c>
      <c r="C109" s="79">
        <f t="shared" ref="C109:I109" si="179">C99*2*1.2</f>
        <v>66960</v>
      </c>
      <c r="D109" s="79">
        <f t="shared" si="179"/>
        <v>75360</v>
      </c>
      <c r="E109" s="79">
        <f t="shared" si="179"/>
        <v>83640</v>
      </c>
      <c r="F109" s="79">
        <f t="shared" si="179"/>
        <v>90360</v>
      </c>
      <c r="G109" s="79">
        <f t="shared" si="179"/>
        <v>97080</v>
      </c>
      <c r="H109" s="79">
        <f t="shared" si="179"/>
        <v>103800</v>
      </c>
      <c r="I109" s="79">
        <f t="shared" si="179"/>
        <v>110520</v>
      </c>
      <c r="J109" s="80">
        <f t="shared" si="173"/>
        <v>1464</v>
      </c>
      <c r="K109" s="80">
        <f t="shared" si="174"/>
        <v>1569</v>
      </c>
      <c r="L109" s="80">
        <f t="shared" si="175"/>
        <v>1884</v>
      </c>
      <c r="M109" s="80">
        <f t="shared" si="176"/>
        <v>2175</v>
      </c>
      <c r="N109" s="80">
        <f t="shared" si="177"/>
        <v>2427</v>
      </c>
      <c r="O109" s="80">
        <f t="shared" si="178"/>
        <v>2679</v>
      </c>
      <c r="P109" s="81"/>
      <c r="Q109" s="81"/>
      <c r="R109" s="81"/>
      <c r="S109" s="81"/>
      <c r="T109" s="81"/>
      <c r="U109" s="81"/>
      <c r="V109" s="81"/>
      <c r="W109" s="81"/>
      <c r="X109" s="81"/>
      <c r="Y109" s="81"/>
      <c r="Z109" s="81"/>
      <c r="AA109" s="81"/>
      <c r="AB109" s="81"/>
      <c r="AC109" s="81"/>
      <c r="AD109" s="81"/>
      <c r="AE109" s="81"/>
      <c r="AF109" s="81"/>
    </row>
    <row r="110" spans="1:32">
      <c r="A110" s="76" t="s">
        <v>844</v>
      </c>
      <c r="B110" s="79">
        <f>B117*2*0.15</f>
        <v>14385</v>
      </c>
      <c r="C110" s="79">
        <f>C117*2*0.15</f>
        <v>16440</v>
      </c>
      <c r="D110" s="79">
        <f>D117*2*0.15</f>
        <v>18495</v>
      </c>
      <c r="E110" s="79">
        <f>E117*2*0.15</f>
        <v>20550</v>
      </c>
      <c r="F110" s="79">
        <f>F117*2*0.15</f>
        <v>22200</v>
      </c>
      <c r="G110" s="79">
        <f t="shared" ref="G110:I110" si="180">G117*2*0.15</f>
        <v>23850</v>
      </c>
      <c r="H110" s="79">
        <f t="shared" si="180"/>
        <v>25485</v>
      </c>
      <c r="I110" s="79">
        <f t="shared" si="180"/>
        <v>27135</v>
      </c>
      <c r="J110" s="80">
        <f t="shared" si="173"/>
        <v>359</v>
      </c>
      <c r="K110" s="80">
        <f t="shared" si="174"/>
        <v>385</v>
      </c>
      <c r="L110" s="80">
        <f t="shared" si="175"/>
        <v>462</v>
      </c>
      <c r="M110" s="80">
        <f t="shared" si="176"/>
        <v>534</v>
      </c>
      <c r="N110" s="80">
        <f t="shared" si="177"/>
        <v>596</v>
      </c>
      <c r="O110" s="80">
        <f t="shared" si="178"/>
        <v>657</v>
      </c>
      <c r="P110" s="81"/>
      <c r="Q110" s="81"/>
      <c r="R110" s="81"/>
      <c r="S110" s="81"/>
      <c r="T110" s="81"/>
      <c r="U110" s="81"/>
      <c r="V110" s="81"/>
      <c r="W110" s="81"/>
      <c r="X110" s="81"/>
      <c r="Y110" s="81"/>
      <c r="Z110" s="81"/>
      <c r="AA110" s="81"/>
      <c r="AB110" s="81"/>
      <c r="AC110" s="81"/>
      <c r="AD110" s="81"/>
      <c r="AE110" s="81"/>
      <c r="AF110" s="81"/>
    </row>
    <row r="111" spans="1:32">
      <c r="A111" s="76" t="s">
        <v>845</v>
      </c>
      <c r="B111" s="79">
        <f>B117*2*0.2</f>
        <v>19180</v>
      </c>
      <c r="C111" s="79">
        <f t="shared" ref="C111:I111" si="181">C117*2*0.2</f>
        <v>21920</v>
      </c>
      <c r="D111" s="79">
        <f t="shared" si="181"/>
        <v>24660</v>
      </c>
      <c r="E111" s="79">
        <f t="shared" si="181"/>
        <v>27400</v>
      </c>
      <c r="F111" s="79">
        <f t="shared" si="181"/>
        <v>29600</v>
      </c>
      <c r="G111" s="79">
        <f t="shared" si="181"/>
        <v>31800</v>
      </c>
      <c r="H111" s="79">
        <f t="shared" si="181"/>
        <v>33980</v>
      </c>
      <c r="I111" s="79">
        <f t="shared" si="181"/>
        <v>36180</v>
      </c>
      <c r="J111" s="80">
        <f t="shared" si="173"/>
        <v>479</v>
      </c>
      <c r="K111" s="80">
        <f t="shared" si="174"/>
        <v>513</v>
      </c>
      <c r="L111" s="80">
        <f t="shared" si="175"/>
        <v>616</v>
      </c>
      <c r="M111" s="80">
        <f t="shared" si="176"/>
        <v>712</v>
      </c>
      <c r="N111" s="80">
        <f t="shared" si="177"/>
        <v>795</v>
      </c>
      <c r="O111" s="80">
        <f t="shared" si="178"/>
        <v>877</v>
      </c>
      <c r="P111" s="81"/>
      <c r="Q111" s="81"/>
      <c r="R111" s="81"/>
      <c r="S111" s="81"/>
      <c r="T111" s="81"/>
      <c r="U111" s="81"/>
      <c r="V111" s="81"/>
      <c r="W111" s="81"/>
      <c r="X111" s="81"/>
      <c r="Y111" s="81"/>
      <c r="Z111" s="81"/>
      <c r="AA111" s="81"/>
      <c r="AB111" s="81"/>
      <c r="AC111" s="81"/>
      <c r="AD111" s="81"/>
      <c r="AE111" s="81"/>
      <c r="AF111" s="81"/>
    </row>
    <row r="112" spans="1:32">
      <c r="A112" s="76" t="s">
        <v>846</v>
      </c>
      <c r="B112" s="79">
        <f>B117*2*0.25</f>
        <v>23975</v>
      </c>
      <c r="C112" s="79">
        <f t="shared" ref="C112:I112" si="182">C117*2*0.25</f>
        <v>27400</v>
      </c>
      <c r="D112" s="79">
        <f t="shared" si="182"/>
        <v>30825</v>
      </c>
      <c r="E112" s="79">
        <f t="shared" si="182"/>
        <v>34250</v>
      </c>
      <c r="F112" s="79">
        <f t="shared" si="182"/>
        <v>37000</v>
      </c>
      <c r="G112" s="79">
        <f t="shared" si="182"/>
        <v>39750</v>
      </c>
      <c r="H112" s="79">
        <f t="shared" si="182"/>
        <v>42475</v>
      </c>
      <c r="I112" s="79">
        <f t="shared" si="182"/>
        <v>45225</v>
      </c>
      <c r="J112" s="80">
        <f t="shared" si="173"/>
        <v>599</v>
      </c>
      <c r="K112" s="80">
        <f t="shared" si="174"/>
        <v>642</v>
      </c>
      <c r="L112" s="80">
        <f t="shared" si="175"/>
        <v>770</v>
      </c>
      <c r="M112" s="80">
        <f t="shared" si="176"/>
        <v>890</v>
      </c>
      <c r="N112" s="80">
        <f t="shared" si="177"/>
        <v>993</v>
      </c>
      <c r="O112" s="80">
        <f t="shared" si="178"/>
        <v>1096</v>
      </c>
      <c r="P112" s="81"/>
      <c r="Q112" s="81"/>
      <c r="R112" s="81"/>
      <c r="S112" s="81"/>
      <c r="T112" s="81"/>
      <c r="U112" s="81"/>
      <c r="V112" s="81"/>
      <c r="W112" s="81"/>
      <c r="X112" s="81"/>
      <c r="Y112" s="81"/>
      <c r="Z112" s="81"/>
      <c r="AA112" s="81"/>
      <c r="AB112" s="81"/>
      <c r="AC112" s="81"/>
      <c r="AD112" s="81"/>
      <c r="AE112" s="81"/>
      <c r="AF112" s="81"/>
    </row>
    <row r="113" spans="1:32">
      <c r="A113" s="76" t="s">
        <v>847</v>
      </c>
      <c r="B113" s="79">
        <f>B117*2*0.3</f>
        <v>28770</v>
      </c>
      <c r="C113" s="79">
        <f t="shared" ref="C113:I113" si="183">C117*2*0.3</f>
        <v>32880</v>
      </c>
      <c r="D113" s="79">
        <f t="shared" si="183"/>
        <v>36990</v>
      </c>
      <c r="E113" s="79">
        <f t="shared" si="183"/>
        <v>41100</v>
      </c>
      <c r="F113" s="79">
        <f t="shared" si="183"/>
        <v>44400</v>
      </c>
      <c r="G113" s="79">
        <f t="shared" si="183"/>
        <v>47700</v>
      </c>
      <c r="H113" s="79">
        <f t="shared" si="183"/>
        <v>50970</v>
      </c>
      <c r="I113" s="79">
        <f t="shared" si="183"/>
        <v>54270</v>
      </c>
      <c r="J113" s="80">
        <f t="shared" si="173"/>
        <v>719</v>
      </c>
      <c r="K113" s="80">
        <f t="shared" si="174"/>
        <v>770</v>
      </c>
      <c r="L113" s="80">
        <f t="shared" si="175"/>
        <v>924</v>
      </c>
      <c r="M113" s="80">
        <f t="shared" si="176"/>
        <v>1068</v>
      </c>
      <c r="N113" s="80">
        <f t="shared" si="177"/>
        <v>1192</v>
      </c>
      <c r="O113" s="80">
        <f t="shared" si="178"/>
        <v>1315</v>
      </c>
      <c r="P113" s="81"/>
      <c r="Q113" s="81"/>
      <c r="R113" s="81"/>
      <c r="S113" s="81"/>
      <c r="T113" s="81"/>
      <c r="U113" s="81"/>
      <c r="V113" s="81"/>
      <c r="W113" s="81"/>
      <c r="X113" s="81"/>
      <c r="Y113" s="81"/>
      <c r="Z113" s="81"/>
      <c r="AA113" s="81"/>
      <c r="AB113" s="81"/>
      <c r="AC113" s="81"/>
      <c r="AD113" s="81"/>
      <c r="AE113" s="81"/>
      <c r="AF113" s="81"/>
    </row>
    <row r="114" spans="1:32">
      <c r="A114" s="76" t="s">
        <v>848</v>
      </c>
      <c r="B114" s="79">
        <f>B117*2*0.35</f>
        <v>33565</v>
      </c>
      <c r="C114" s="79">
        <f t="shared" ref="C114:I114" si="184">C117*2*0.35</f>
        <v>38360</v>
      </c>
      <c r="D114" s="79">
        <f t="shared" si="184"/>
        <v>43155</v>
      </c>
      <c r="E114" s="79">
        <f t="shared" si="184"/>
        <v>47950</v>
      </c>
      <c r="F114" s="79">
        <f t="shared" si="184"/>
        <v>51800</v>
      </c>
      <c r="G114" s="79">
        <f t="shared" si="184"/>
        <v>55650</v>
      </c>
      <c r="H114" s="79">
        <f t="shared" si="184"/>
        <v>59464.999999999993</v>
      </c>
      <c r="I114" s="79">
        <f t="shared" si="184"/>
        <v>63314.999999999993</v>
      </c>
      <c r="J114" s="80">
        <f t="shared" si="173"/>
        <v>839</v>
      </c>
      <c r="K114" s="80">
        <f t="shared" si="174"/>
        <v>899</v>
      </c>
      <c r="L114" s="80">
        <f t="shared" si="175"/>
        <v>1078</v>
      </c>
      <c r="M114" s="80">
        <f t="shared" si="176"/>
        <v>1246</v>
      </c>
      <c r="N114" s="80">
        <f t="shared" si="177"/>
        <v>1391</v>
      </c>
      <c r="O114" s="80">
        <f t="shared" si="178"/>
        <v>1534</v>
      </c>
      <c r="P114" s="81"/>
      <c r="Q114" s="81"/>
      <c r="R114" s="81"/>
      <c r="S114" s="81"/>
      <c r="T114" s="81"/>
      <c r="U114" s="81"/>
      <c r="V114" s="81"/>
      <c r="W114" s="81"/>
      <c r="X114" s="81"/>
      <c r="Y114" s="81"/>
      <c r="Z114" s="81"/>
      <c r="AA114" s="81"/>
      <c r="AB114" s="81"/>
      <c r="AC114" s="81"/>
      <c r="AD114" s="81"/>
      <c r="AE114" s="81"/>
      <c r="AF114" s="81"/>
    </row>
    <row r="115" spans="1:32">
      <c r="A115" s="76" t="s">
        <v>849</v>
      </c>
      <c r="B115" s="79">
        <f>B117*2*0.4</f>
        <v>38360</v>
      </c>
      <c r="C115" s="79">
        <f t="shared" ref="C115:I115" si="185">C117*2*0.4</f>
        <v>43840</v>
      </c>
      <c r="D115" s="79">
        <f t="shared" si="185"/>
        <v>49320</v>
      </c>
      <c r="E115" s="79">
        <f t="shared" si="185"/>
        <v>54800</v>
      </c>
      <c r="F115" s="79">
        <f t="shared" si="185"/>
        <v>59200</v>
      </c>
      <c r="G115" s="79">
        <f t="shared" si="185"/>
        <v>63600</v>
      </c>
      <c r="H115" s="79">
        <f t="shared" si="185"/>
        <v>67960</v>
      </c>
      <c r="I115" s="79">
        <f t="shared" si="185"/>
        <v>72360</v>
      </c>
      <c r="J115" s="80">
        <f t="shared" si="173"/>
        <v>959</v>
      </c>
      <c r="K115" s="80">
        <f t="shared" si="174"/>
        <v>1027</v>
      </c>
      <c r="L115" s="80">
        <f t="shared" si="175"/>
        <v>1233</v>
      </c>
      <c r="M115" s="80">
        <f t="shared" si="176"/>
        <v>1425</v>
      </c>
      <c r="N115" s="80">
        <f t="shared" si="177"/>
        <v>1590</v>
      </c>
      <c r="O115" s="80">
        <f t="shared" si="178"/>
        <v>1754</v>
      </c>
      <c r="P115" s="81"/>
      <c r="Q115" s="81"/>
      <c r="R115" s="81"/>
      <c r="S115" s="81"/>
      <c r="T115" s="81"/>
      <c r="U115" s="81"/>
      <c r="V115" s="81"/>
      <c r="W115" s="81"/>
      <c r="X115" s="81"/>
      <c r="Y115" s="81"/>
      <c r="Z115" s="81"/>
      <c r="AA115" s="81"/>
      <c r="AB115" s="81"/>
      <c r="AC115" s="81"/>
      <c r="AD115" s="81"/>
      <c r="AE115" s="81"/>
      <c r="AF115" s="81"/>
    </row>
    <row r="116" spans="1:32">
      <c r="A116" s="76" t="s">
        <v>850</v>
      </c>
      <c r="B116" s="79">
        <f>B117*2*0.45</f>
        <v>43155</v>
      </c>
      <c r="C116" s="79">
        <f t="shared" ref="C116:I116" si="186">C117*2*0.45</f>
        <v>49320</v>
      </c>
      <c r="D116" s="79">
        <f t="shared" si="186"/>
        <v>55485</v>
      </c>
      <c r="E116" s="79">
        <f t="shared" si="186"/>
        <v>61650</v>
      </c>
      <c r="F116" s="79">
        <f t="shared" si="186"/>
        <v>66600</v>
      </c>
      <c r="G116" s="79">
        <f t="shared" si="186"/>
        <v>71550</v>
      </c>
      <c r="H116" s="79">
        <f t="shared" si="186"/>
        <v>76455</v>
      </c>
      <c r="I116" s="79">
        <f t="shared" si="186"/>
        <v>81405</v>
      </c>
      <c r="J116" s="80">
        <f t="shared" si="173"/>
        <v>1078</v>
      </c>
      <c r="K116" s="80">
        <f t="shared" si="174"/>
        <v>1155</v>
      </c>
      <c r="L116" s="80">
        <f t="shared" si="175"/>
        <v>1387</v>
      </c>
      <c r="M116" s="80">
        <f t="shared" si="176"/>
        <v>1603</v>
      </c>
      <c r="N116" s="80">
        <f t="shared" si="177"/>
        <v>1788</v>
      </c>
      <c r="O116" s="80">
        <f t="shared" si="178"/>
        <v>1973</v>
      </c>
      <c r="P116" s="81"/>
      <c r="Q116" s="81"/>
      <c r="R116" s="81"/>
      <c r="S116" s="81"/>
      <c r="T116" s="81"/>
      <c r="U116" s="81"/>
      <c r="V116" s="81"/>
      <c r="W116" s="81"/>
      <c r="X116" s="81"/>
      <c r="Y116" s="81"/>
      <c r="Z116" s="81"/>
      <c r="AA116" s="81"/>
      <c r="AB116" s="81"/>
      <c r="AC116" s="81"/>
      <c r="AD116" s="81"/>
      <c r="AE116" s="81"/>
      <c r="AF116" s="81"/>
    </row>
    <row r="117" spans="1:32">
      <c r="A117" s="82" t="s">
        <v>851</v>
      </c>
      <c r="B117" s="84">
        <f>'MTSP 50% Income Limits '!B8</f>
        <v>47950</v>
      </c>
      <c r="C117" s="84">
        <f>'MTSP 50% Income Limits '!C8</f>
        <v>54800</v>
      </c>
      <c r="D117" s="84">
        <f>'MTSP 50% Income Limits '!D8</f>
        <v>61650</v>
      </c>
      <c r="E117" s="84">
        <f>'MTSP 50% Income Limits '!E8</f>
        <v>68500</v>
      </c>
      <c r="F117" s="84">
        <f>'MTSP 50% Income Limits '!F8</f>
        <v>74000</v>
      </c>
      <c r="G117" s="84">
        <f>'MTSP 50% Income Limits '!G8</f>
        <v>79500</v>
      </c>
      <c r="H117" s="84">
        <f>'MTSP 50% Income Limits '!H8</f>
        <v>84950</v>
      </c>
      <c r="I117" s="84">
        <f>'MTSP 50% Income Limits '!I8</f>
        <v>90450</v>
      </c>
      <c r="J117" s="83">
        <f>TRUNC(B117/12*0.3)</f>
        <v>1198</v>
      </c>
      <c r="K117" s="83">
        <f>TRUNC((B117+C117)/2/12*0.3)</f>
        <v>1284</v>
      </c>
      <c r="L117" s="83">
        <f>TRUNC((D117)/12*0.3)</f>
        <v>1541</v>
      </c>
      <c r="M117" s="83">
        <f>TRUNC(((E117+F117)/2)/12*0.3)</f>
        <v>1781</v>
      </c>
      <c r="N117" s="83">
        <f>TRUNC(G117/12*0.3)</f>
        <v>1987</v>
      </c>
      <c r="O117" s="83">
        <f>TRUNC(((H117+I117)/2)/12*0.3)</f>
        <v>2192</v>
      </c>
      <c r="P117" s="81"/>
      <c r="Q117" s="81"/>
      <c r="R117" s="81"/>
      <c r="S117" s="81"/>
      <c r="T117" s="81"/>
      <c r="U117" s="81"/>
      <c r="V117" s="81"/>
      <c r="W117" s="81"/>
      <c r="X117" s="81"/>
      <c r="Y117" s="81"/>
      <c r="Z117" s="81"/>
      <c r="AA117" s="81"/>
      <c r="AB117" s="81"/>
      <c r="AC117" s="81"/>
      <c r="AD117" s="81"/>
      <c r="AE117" s="81"/>
      <c r="AF117" s="81"/>
    </row>
    <row r="118" spans="1:32">
      <c r="A118" s="76" t="s">
        <v>852</v>
      </c>
      <c r="B118" s="79">
        <f>B117*2*0.55</f>
        <v>52745.000000000007</v>
      </c>
      <c r="C118" s="79">
        <f t="shared" ref="C118:I118" si="187">C117*2*0.55</f>
        <v>60280.000000000007</v>
      </c>
      <c r="D118" s="79">
        <f t="shared" si="187"/>
        <v>67815</v>
      </c>
      <c r="E118" s="79">
        <f t="shared" si="187"/>
        <v>75350</v>
      </c>
      <c r="F118" s="79">
        <f t="shared" si="187"/>
        <v>81400</v>
      </c>
      <c r="G118" s="79">
        <f t="shared" si="187"/>
        <v>87450</v>
      </c>
      <c r="H118" s="79">
        <f t="shared" si="187"/>
        <v>93445.000000000015</v>
      </c>
      <c r="I118" s="79">
        <f t="shared" si="187"/>
        <v>99495.000000000015</v>
      </c>
      <c r="J118" s="80">
        <f t="shared" ref="J118:J124" si="188">TRUNC(B118/12*0.3)</f>
        <v>1318</v>
      </c>
      <c r="K118" s="80">
        <f t="shared" ref="K118:K124" si="189">TRUNC((B118+C118)/2/12*0.3)</f>
        <v>1412</v>
      </c>
      <c r="L118" s="80">
        <f t="shared" ref="L118:L124" si="190">TRUNC((D118)/12*0.3)</f>
        <v>1695</v>
      </c>
      <c r="M118" s="80">
        <f t="shared" ref="M118:M124" si="191">TRUNC(((E118+F118)/2)/12*0.3)</f>
        <v>1959</v>
      </c>
      <c r="N118" s="80">
        <f t="shared" ref="N118:N124" si="192">TRUNC(G118/12*0.3)</f>
        <v>2186</v>
      </c>
      <c r="O118" s="80">
        <f t="shared" ref="O118:O124" si="193">TRUNC(((H118+I118)/2)/12*0.3)</f>
        <v>2411</v>
      </c>
      <c r="P118" s="81"/>
      <c r="Q118" s="81"/>
      <c r="R118" s="81"/>
      <c r="S118" s="81"/>
      <c r="T118" s="81"/>
      <c r="U118" s="81"/>
      <c r="V118" s="81"/>
      <c r="W118" s="81"/>
      <c r="X118" s="81"/>
      <c r="Y118" s="81"/>
      <c r="Z118" s="81"/>
      <c r="AA118" s="81"/>
      <c r="AB118" s="81"/>
      <c r="AC118" s="81"/>
      <c r="AD118" s="81"/>
      <c r="AE118" s="81"/>
      <c r="AF118" s="81"/>
    </row>
    <row r="119" spans="1:32">
      <c r="A119" s="76" t="s">
        <v>853</v>
      </c>
      <c r="B119" s="79">
        <f>B117*2*0.6</f>
        <v>57540</v>
      </c>
      <c r="C119" s="79">
        <f t="shared" ref="C119:I119" si="194">C117*2*0.6</f>
        <v>65760</v>
      </c>
      <c r="D119" s="79">
        <f t="shared" si="194"/>
        <v>73980</v>
      </c>
      <c r="E119" s="79">
        <f t="shared" si="194"/>
        <v>82200</v>
      </c>
      <c r="F119" s="79">
        <f t="shared" si="194"/>
        <v>88800</v>
      </c>
      <c r="G119" s="79">
        <f t="shared" si="194"/>
        <v>95400</v>
      </c>
      <c r="H119" s="79">
        <f t="shared" si="194"/>
        <v>101940</v>
      </c>
      <c r="I119" s="79">
        <f t="shared" si="194"/>
        <v>108540</v>
      </c>
      <c r="J119" s="80">
        <f t="shared" si="188"/>
        <v>1438</v>
      </c>
      <c r="K119" s="80">
        <f t="shared" si="189"/>
        <v>1541</v>
      </c>
      <c r="L119" s="80">
        <f t="shared" si="190"/>
        <v>1849</v>
      </c>
      <c r="M119" s="80">
        <f t="shared" si="191"/>
        <v>2137</v>
      </c>
      <c r="N119" s="80">
        <f t="shared" si="192"/>
        <v>2385</v>
      </c>
      <c r="O119" s="80">
        <f t="shared" si="193"/>
        <v>2631</v>
      </c>
      <c r="P119" s="81"/>
      <c r="Q119" s="81"/>
      <c r="R119" s="81"/>
      <c r="S119" s="81"/>
      <c r="T119" s="81"/>
      <c r="U119" s="81"/>
      <c r="V119" s="81"/>
      <c r="W119" s="81"/>
      <c r="X119" s="81"/>
      <c r="Y119" s="81"/>
      <c r="Z119" s="81"/>
      <c r="AA119" s="81"/>
      <c r="AB119" s="81"/>
      <c r="AC119" s="81"/>
      <c r="AD119" s="81"/>
      <c r="AE119" s="81"/>
      <c r="AF119" s="81"/>
    </row>
    <row r="120" spans="1:32">
      <c r="A120" s="76" t="s">
        <v>854</v>
      </c>
      <c r="B120" s="79">
        <f>B117*2*0.65</f>
        <v>62335</v>
      </c>
      <c r="C120" s="79">
        <f t="shared" ref="C120:I120" si="195">C117*2*0.65</f>
        <v>71240</v>
      </c>
      <c r="D120" s="79">
        <f t="shared" si="195"/>
        <v>80145</v>
      </c>
      <c r="E120" s="79">
        <f t="shared" si="195"/>
        <v>89050</v>
      </c>
      <c r="F120" s="79">
        <f t="shared" si="195"/>
        <v>96200</v>
      </c>
      <c r="G120" s="79">
        <f t="shared" si="195"/>
        <v>103350</v>
      </c>
      <c r="H120" s="79">
        <f t="shared" si="195"/>
        <v>110435</v>
      </c>
      <c r="I120" s="79">
        <f t="shared" si="195"/>
        <v>117585</v>
      </c>
      <c r="J120" s="80">
        <f t="shared" si="188"/>
        <v>1558</v>
      </c>
      <c r="K120" s="80">
        <f t="shared" si="189"/>
        <v>1669</v>
      </c>
      <c r="L120" s="80">
        <f t="shared" si="190"/>
        <v>2003</v>
      </c>
      <c r="M120" s="80">
        <f t="shared" si="191"/>
        <v>2315</v>
      </c>
      <c r="N120" s="80">
        <f t="shared" si="192"/>
        <v>2583</v>
      </c>
      <c r="O120" s="80">
        <f t="shared" si="193"/>
        <v>2850</v>
      </c>
      <c r="P120" s="81"/>
      <c r="Q120" s="81"/>
      <c r="R120" s="81"/>
      <c r="S120" s="81"/>
      <c r="T120" s="81"/>
      <c r="U120" s="81"/>
      <c r="V120" s="81"/>
      <c r="W120" s="81"/>
      <c r="X120" s="81"/>
      <c r="Y120" s="81"/>
      <c r="Z120" s="81"/>
      <c r="AA120" s="81"/>
      <c r="AB120" s="81"/>
      <c r="AC120" s="81"/>
      <c r="AD120" s="81"/>
      <c r="AE120" s="81"/>
      <c r="AF120" s="81"/>
    </row>
    <row r="121" spans="1:32">
      <c r="A121" s="76" t="s">
        <v>855</v>
      </c>
      <c r="B121" s="79">
        <f>B117*2*0.7</f>
        <v>67130</v>
      </c>
      <c r="C121" s="79">
        <f t="shared" ref="C121:I121" si="196">C117*2*0.7</f>
        <v>76720</v>
      </c>
      <c r="D121" s="79">
        <f t="shared" si="196"/>
        <v>86310</v>
      </c>
      <c r="E121" s="79">
        <f t="shared" si="196"/>
        <v>95900</v>
      </c>
      <c r="F121" s="79">
        <f t="shared" si="196"/>
        <v>103600</v>
      </c>
      <c r="G121" s="79">
        <f t="shared" si="196"/>
        <v>111300</v>
      </c>
      <c r="H121" s="79">
        <f t="shared" si="196"/>
        <v>118929.99999999999</v>
      </c>
      <c r="I121" s="79">
        <f t="shared" si="196"/>
        <v>126629.99999999999</v>
      </c>
      <c r="J121" s="80">
        <f t="shared" si="188"/>
        <v>1678</v>
      </c>
      <c r="K121" s="80">
        <f t="shared" si="189"/>
        <v>1798</v>
      </c>
      <c r="L121" s="80">
        <f t="shared" si="190"/>
        <v>2157</v>
      </c>
      <c r="M121" s="80">
        <f t="shared" si="191"/>
        <v>2493</v>
      </c>
      <c r="N121" s="80">
        <f t="shared" si="192"/>
        <v>2782</v>
      </c>
      <c r="O121" s="80">
        <f t="shared" si="193"/>
        <v>3069</v>
      </c>
      <c r="P121" s="81"/>
      <c r="Q121" s="81"/>
      <c r="R121" s="81"/>
      <c r="S121" s="81"/>
      <c r="T121" s="81"/>
      <c r="U121" s="81"/>
      <c r="V121" s="81"/>
      <c r="W121" s="81"/>
      <c r="X121" s="81"/>
      <c r="Y121" s="81"/>
      <c r="Z121" s="81"/>
      <c r="AA121" s="81"/>
      <c r="AB121" s="81"/>
      <c r="AC121" s="81"/>
      <c r="AD121" s="81"/>
      <c r="AE121" s="81"/>
      <c r="AF121" s="81"/>
    </row>
    <row r="122" spans="1:32">
      <c r="A122" s="76" t="s">
        <v>856</v>
      </c>
      <c r="B122" s="79">
        <f>B117*2*0.75</f>
        <v>71925</v>
      </c>
      <c r="C122" s="79">
        <f t="shared" ref="C122:I122" si="197">C117*2*0.75</f>
        <v>82200</v>
      </c>
      <c r="D122" s="79">
        <f t="shared" si="197"/>
        <v>92475</v>
      </c>
      <c r="E122" s="79">
        <f t="shared" si="197"/>
        <v>102750</v>
      </c>
      <c r="F122" s="79">
        <f t="shared" si="197"/>
        <v>111000</v>
      </c>
      <c r="G122" s="79">
        <f t="shared" si="197"/>
        <v>119250</v>
      </c>
      <c r="H122" s="79">
        <f t="shared" si="197"/>
        <v>127425</v>
      </c>
      <c r="I122" s="79">
        <f t="shared" si="197"/>
        <v>135675</v>
      </c>
      <c r="J122" s="80">
        <f t="shared" si="188"/>
        <v>1798</v>
      </c>
      <c r="K122" s="80">
        <f t="shared" si="189"/>
        <v>1926</v>
      </c>
      <c r="L122" s="80">
        <f t="shared" si="190"/>
        <v>2311</v>
      </c>
      <c r="M122" s="80">
        <f t="shared" si="191"/>
        <v>2671</v>
      </c>
      <c r="N122" s="80">
        <f t="shared" si="192"/>
        <v>2981</v>
      </c>
      <c r="O122" s="80">
        <f t="shared" si="193"/>
        <v>3288</v>
      </c>
      <c r="P122" s="81"/>
      <c r="Q122" s="81"/>
      <c r="R122" s="81"/>
      <c r="S122" s="81"/>
      <c r="T122" s="81"/>
      <c r="U122" s="81"/>
      <c r="V122" s="81"/>
      <c r="W122" s="81"/>
      <c r="X122" s="81"/>
      <c r="Y122" s="81"/>
      <c r="Z122" s="81"/>
      <c r="AA122" s="81"/>
      <c r="AB122" s="81"/>
      <c r="AC122" s="81"/>
      <c r="AD122" s="81"/>
      <c r="AE122" s="81"/>
      <c r="AF122" s="81"/>
    </row>
    <row r="123" spans="1:32">
      <c r="A123" s="76" t="s">
        <v>857</v>
      </c>
      <c r="B123" s="79">
        <f>B117*2*0.8</f>
        <v>76720</v>
      </c>
      <c r="C123" s="79">
        <f t="shared" ref="C123:I123" si="198">C117*2*0.8</f>
        <v>87680</v>
      </c>
      <c r="D123" s="79">
        <f t="shared" si="198"/>
        <v>98640</v>
      </c>
      <c r="E123" s="79">
        <f t="shared" si="198"/>
        <v>109600</v>
      </c>
      <c r="F123" s="79">
        <f t="shared" si="198"/>
        <v>118400</v>
      </c>
      <c r="G123" s="79">
        <f t="shared" si="198"/>
        <v>127200</v>
      </c>
      <c r="H123" s="79">
        <f t="shared" si="198"/>
        <v>135920</v>
      </c>
      <c r="I123" s="79">
        <f t="shared" si="198"/>
        <v>144720</v>
      </c>
      <c r="J123" s="80">
        <f t="shared" si="188"/>
        <v>1918</v>
      </c>
      <c r="K123" s="80">
        <f t="shared" si="189"/>
        <v>2055</v>
      </c>
      <c r="L123" s="80">
        <f t="shared" si="190"/>
        <v>2466</v>
      </c>
      <c r="M123" s="80">
        <f t="shared" si="191"/>
        <v>2850</v>
      </c>
      <c r="N123" s="80">
        <f t="shared" si="192"/>
        <v>3180</v>
      </c>
      <c r="O123" s="80">
        <f t="shared" si="193"/>
        <v>3508</v>
      </c>
      <c r="P123" s="81"/>
      <c r="Q123" s="81"/>
      <c r="R123" s="81"/>
      <c r="S123" s="81"/>
      <c r="T123" s="81"/>
      <c r="U123" s="81"/>
      <c r="V123" s="81"/>
      <c r="W123" s="81"/>
      <c r="X123" s="81"/>
      <c r="Y123" s="81"/>
      <c r="Z123" s="81"/>
      <c r="AA123" s="81"/>
      <c r="AB123" s="81"/>
      <c r="AC123" s="81"/>
      <c r="AD123" s="81"/>
      <c r="AE123" s="81"/>
      <c r="AF123" s="81"/>
    </row>
    <row r="124" spans="1:32">
      <c r="A124" s="76" t="s">
        <v>858</v>
      </c>
      <c r="B124" s="79">
        <f>B117*2*0.9</f>
        <v>86310</v>
      </c>
      <c r="C124" s="79">
        <f t="shared" ref="C124:I124" si="199">C117*2*0.9</f>
        <v>98640</v>
      </c>
      <c r="D124" s="79">
        <f t="shared" si="199"/>
        <v>110970</v>
      </c>
      <c r="E124" s="79">
        <f t="shared" si="199"/>
        <v>123300</v>
      </c>
      <c r="F124" s="79">
        <f t="shared" si="199"/>
        <v>133200</v>
      </c>
      <c r="G124" s="79">
        <f t="shared" si="199"/>
        <v>143100</v>
      </c>
      <c r="H124" s="79">
        <f t="shared" si="199"/>
        <v>152910</v>
      </c>
      <c r="I124" s="79">
        <f t="shared" si="199"/>
        <v>162810</v>
      </c>
      <c r="J124" s="80">
        <f t="shared" si="188"/>
        <v>2157</v>
      </c>
      <c r="K124" s="80">
        <f t="shared" si="189"/>
        <v>2311</v>
      </c>
      <c r="L124" s="80">
        <f t="shared" si="190"/>
        <v>2774</v>
      </c>
      <c r="M124" s="80">
        <f t="shared" si="191"/>
        <v>3206</v>
      </c>
      <c r="N124" s="80">
        <f t="shared" si="192"/>
        <v>3577</v>
      </c>
      <c r="O124" s="80">
        <f t="shared" si="193"/>
        <v>3946</v>
      </c>
      <c r="P124" s="81"/>
      <c r="Q124" s="81"/>
      <c r="R124" s="81"/>
      <c r="S124" s="81"/>
      <c r="T124" s="81"/>
      <c r="U124" s="81"/>
      <c r="V124" s="81"/>
      <c r="W124" s="81"/>
      <c r="X124" s="81"/>
      <c r="Y124" s="81"/>
      <c r="Z124" s="81"/>
      <c r="AA124" s="81"/>
      <c r="AB124" s="81"/>
      <c r="AC124" s="81"/>
      <c r="AD124" s="81"/>
      <c r="AE124" s="81"/>
      <c r="AF124" s="81"/>
    </row>
    <row r="125" spans="1:32">
      <c r="A125" s="76" t="s">
        <v>859</v>
      </c>
      <c r="B125" s="79">
        <f>B117*2</f>
        <v>95900</v>
      </c>
      <c r="C125" s="79">
        <f t="shared" ref="C125:I125" si="200">C117*2</f>
        <v>109600</v>
      </c>
      <c r="D125" s="79">
        <f t="shared" si="200"/>
        <v>123300</v>
      </c>
      <c r="E125" s="79">
        <f t="shared" si="200"/>
        <v>137000</v>
      </c>
      <c r="F125" s="79">
        <f t="shared" si="200"/>
        <v>148000</v>
      </c>
      <c r="G125" s="79">
        <f t="shared" si="200"/>
        <v>159000</v>
      </c>
      <c r="H125" s="79">
        <f t="shared" si="200"/>
        <v>169900</v>
      </c>
      <c r="I125" s="79">
        <f t="shared" si="200"/>
        <v>180900</v>
      </c>
      <c r="J125" s="80">
        <f>J117*2</f>
        <v>2396</v>
      </c>
      <c r="K125" s="80">
        <f t="shared" ref="K125:O125" si="201">K117*2</f>
        <v>2568</v>
      </c>
      <c r="L125" s="80">
        <f t="shared" si="201"/>
        <v>3082</v>
      </c>
      <c r="M125" s="80">
        <f t="shared" si="201"/>
        <v>3562</v>
      </c>
      <c r="N125" s="80">
        <f t="shared" si="201"/>
        <v>3974</v>
      </c>
      <c r="O125" s="80">
        <f t="shared" si="201"/>
        <v>4384</v>
      </c>
      <c r="P125" s="81"/>
      <c r="Q125" s="81"/>
      <c r="R125" s="81"/>
      <c r="S125" s="81"/>
      <c r="T125" s="81"/>
      <c r="U125" s="81"/>
      <c r="V125" s="81"/>
      <c r="W125" s="81"/>
      <c r="X125" s="81"/>
      <c r="Y125" s="81"/>
      <c r="Z125" s="81"/>
      <c r="AA125" s="81"/>
      <c r="AB125" s="81"/>
      <c r="AC125" s="81"/>
      <c r="AD125" s="81"/>
      <c r="AE125" s="81"/>
      <c r="AF125" s="81"/>
    </row>
    <row r="126" spans="1:32">
      <c r="A126" s="76" t="s">
        <v>860</v>
      </c>
      <c r="B126" s="79">
        <f>B117*2*1.1</f>
        <v>105490.00000000001</v>
      </c>
      <c r="C126" s="79">
        <f t="shared" ref="C126:I126" si="202">C117*2*1.1</f>
        <v>120560.00000000001</v>
      </c>
      <c r="D126" s="79">
        <f t="shared" si="202"/>
        <v>135630</v>
      </c>
      <c r="E126" s="79">
        <f t="shared" si="202"/>
        <v>150700</v>
      </c>
      <c r="F126" s="79">
        <f t="shared" si="202"/>
        <v>162800</v>
      </c>
      <c r="G126" s="79">
        <f t="shared" si="202"/>
        <v>174900</v>
      </c>
      <c r="H126" s="79">
        <f t="shared" si="202"/>
        <v>186890.00000000003</v>
      </c>
      <c r="I126" s="79">
        <f t="shared" si="202"/>
        <v>198990.00000000003</v>
      </c>
      <c r="J126" s="80">
        <f t="shared" ref="J126:J134" si="203">TRUNC(B126/12*0.3)</f>
        <v>2637</v>
      </c>
      <c r="K126" s="80">
        <f t="shared" ref="K126:K134" si="204">TRUNC((B126+C126)/2/12*0.3)</f>
        <v>2825</v>
      </c>
      <c r="L126" s="80">
        <f t="shared" ref="L126:L134" si="205">TRUNC((D126)/12*0.3)</f>
        <v>3390</v>
      </c>
      <c r="M126" s="80">
        <f t="shared" ref="M126:M134" si="206">TRUNC(((E126+F126)/2)/12*0.3)</f>
        <v>3918</v>
      </c>
      <c r="N126" s="80">
        <f t="shared" ref="N126:N134" si="207">TRUNC(G126/12*0.3)</f>
        <v>4372</v>
      </c>
      <c r="O126" s="80">
        <f t="shared" ref="O126:O134" si="208">TRUNC(((H126+I126)/2)/12*0.3)</f>
        <v>4823</v>
      </c>
      <c r="P126" s="81"/>
      <c r="Q126" s="81"/>
      <c r="R126" s="81"/>
      <c r="S126" s="81"/>
      <c r="T126" s="81"/>
      <c r="U126" s="81"/>
      <c r="V126" s="81"/>
      <c r="W126" s="81"/>
      <c r="X126" s="81"/>
      <c r="Y126" s="81"/>
      <c r="Z126" s="81"/>
      <c r="AA126" s="81"/>
      <c r="AB126" s="81"/>
      <c r="AC126" s="81"/>
      <c r="AD126" s="81"/>
      <c r="AE126" s="81"/>
      <c r="AF126" s="81"/>
    </row>
    <row r="127" spans="1:32">
      <c r="A127" s="76" t="s">
        <v>861</v>
      </c>
      <c r="B127" s="79">
        <f>B117*2*1.2</f>
        <v>115080</v>
      </c>
      <c r="C127" s="79">
        <f t="shared" ref="C127:I127" si="209">C117*2*1.2</f>
        <v>131520</v>
      </c>
      <c r="D127" s="79">
        <f t="shared" si="209"/>
        <v>147960</v>
      </c>
      <c r="E127" s="79">
        <f t="shared" si="209"/>
        <v>164400</v>
      </c>
      <c r="F127" s="79">
        <f t="shared" si="209"/>
        <v>177600</v>
      </c>
      <c r="G127" s="79">
        <f t="shared" si="209"/>
        <v>190800</v>
      </c>
      <c r="H127" s="79">
        <f t="shared" si="209"/>
        <v>203880</v>
      </c>
      <c r="I127" s="79">
        <f t="shared" si="209"/>
        <v>217080</v>
      </c>
      <c r="J127" s="80">
        <f t="shared" si="203"/>
        <v>2877</v>
      </c>
      <c r="K127" s="80">
        <f t="shared" si="204"/>
        <v>3082</v>
      </c>
      <c r="L127" s="80">
        <f t="shared" si="205"/>
        <v>3699</v>
      </c>
      <c r="M127" s="80">
        <f t="shared" si="206"/>
        <v>4275</v>
      </c>
      <c r="N127" s="80">
        <f t="shared" si="207"/>
        <v>4770</v>
      </c>
      <c r="O127" s="80">
        <f t="shared" si="208"/>
        <v>5262</v>
      </c>
      <c r="P127" s="81"/>
      <c r="Q127" s="81"/>
      <c r="R127" s="81"/>
      <c r="S127" s="81"/>
      <c r="T127" s="81"/>
      <c r="U127" s="81"/>
      <c r="V127" s="81"/>
      <c r="W127" s="81"/>
      <c r="X127" s="81"/>
      <c r="Y127" s="81"/>
      <c r="Z127" s="81"/>
      <c r="AA127" s="81"/>
      <c r="AB127" s="81"/>
      <c r="AC127" s="81"/>
      <c r="AD127" s="81"/>
      <c r="AE127" s="81"/>
      <c r="AF127" s="81"/>
    </row>
    <row r="128" spans="1:32">
      <c r="A128" s="76" t="s">
        <v>862</v>
      </c>
      <c r="B128" s="79">
        <f>B135*2*0.15</f>
        <v>7320</v>
      </c>
      <c r="C128" s="79">
        <f>C135*2*0.15</f>
        <v>8370</v>
      </c>
      <c r="D128" s="79">
        <f>D135*2*0.15</f>
        <v>9420</v>
      </c>
      <c r="E128" s="79">
        <f>E135*2*0.15</f>
        <v>10455</v>
      </c>
      <c r="F128" s="79">
        <f>F135*2*0.15</f>
        <v>11295</v>
      </c>
      <c r="G128" s="79">
        <f t="shared" ref="G128:I128" si="210">G135*2*0.15</f>
        <v>12135</v>
      </c>
      <c r="H128" s="79">
        <f t="shared" si="210"/>
        <v>12975</v>
      </c>
      <c r="I128" s="79">
        <f t="shared" si="210"/>
        <v>13815</v>
      </c>
      <c r="J128" s="80">
        <f t="shared" si="203"/>
        <v>183</v>
      </c>
      <c r="K128" s="80">
        <f t="shared" si="204"/>
        <v>196</v>
      </c>
      <c r="L128" s="80">
        <f t="shared" si="205"/>
        <v>235</v>
      </c>
      <c r="M128" s="80">
        <f t="shared" si="206"/>
        <v>271</v>
      </c>
      <c r="N128" s="80">
        <f t="shared" si="207"/>
        <v>303</v>
      </c>
      <c r="O128" s="80">
        <f t="shared" si="208"/>
        <v>334</v>
      </c>
      <c r="P128" s="81"/>
      <c r="Q128" s="81"/>
      <c r="R128" s="81"/>
      <c r="S128" s="81"/>
      <c r="T128" s="81"/>
      <c r="U128" s="81"/>
      <c r="V128" s="81"/>
      <c r="W128" s="81"/>
      <c r="X128" s="81"/>
      <c r="Y128" s="81"/>
      <c r="Z128" s="81"/>
      <c r="AA128" s="81"/>
      <c r="AB128" s="81"/>
      <c r="AC128" s="81"/>
      <c r="AD128" s="81"/>
      <c r="AE128" s="81"/>
      <c r="AF128" s="81"/>
    </row>
    <row r="129" spans="1:32">
      <c r="A129" s="76" t="s">
        <v>863</v>
      </c>
      <c r="B129" s="79">
        <f>B135*2*0.2</f>
        <v>9760</v>
      </c>
      <c r="C129" s="79">
        <f t="shared" ref="C129:I129" si="211">C135*2*0.2</f>
        <v>11160</v>
      </c>
      <c r="D129" s="79">
        <f t="shared" si="211"/>
        <v>12560</v>
      </c>
      <c r="E129" s="79">
        <f t="shared" si="211"/>
        <v>13940</v>
      </c>
      <c r="F129" s="79">
        <f t="shared" si="211"/>
        <v>15060</v>
      </c>
      <c r="G129" s="79">
        <f t="shared" si="211"/>
        <v>16180</v>
      </c>
      <c r="H129" s="79">
        <f t="shared" si="211"/>
        <v>17300</v>
      </c>
      <c r="I129" s="79">
        <f t="shared" si="211"/>
        <v>18420</v>
      </c>
      <c r="J129" s="80">
        <f t="shared" si="203"/>
        <v>244</v>
      </c>
      <c r="K129" s="80">
        <f t="shared" si="204"/>
        <v>261</v>
      </c>
      <c r="L129" s="80">
        <f t="shared" si="205"/>
        <v>314</v>
      </c>
      <c r="M129" s="80">
        <f t="shared" si="206"/>
        <v>362</v>
      </c>
      <c r="N129" s="80">
        <f t="shared" si="207"/>
        <v>404</v>
      </c>
      <c r="O129" s="80">
        <f t="shared" si="208"/>
        <v>446</v>
      </c>
      <c r="P129" s="81"/>
      <c r="Q129" s="81"/>
      <c r="R129" s="81"/>
      <c r="S129" s="81"/>
      <c r="T129" s="81"/>
      <c r="U129" s="81"/>
      <c r="V129" s="81"/>
      <c r="W129" s="81"/>
      <c r="X129" s="81"/>
      <c r="Y129" s="81"/>
      <c r="Z129" s="81"/>
      <c r="AA129" s="81"/>
      <c r="AB129" s="81"/>
      <c r="AC129" s="81"/>
      <c r="AD129" s="81"/>
      <c r="AE129" s="81"/>
      <c r="AF129" s="81"/>
    </row>
    <row r="130" spans="1:32">
      <c r="A130" s="76" t="s">
        <v>864</v>
      </c>
      <c r="B130" s="79">
        <f>B135*2*0.25</f>
        <v>12200</v>
      </c>
      <c r="C130" s="79">
        <f t="shared" ref="C130:I130" si="212">C135*2*0.25</f>
        <v>13950</v>
      </c>
      <c r="D130" s="79">
        <f t="shared" si="212"/>
        <v>15700</v>
      </c>
      <c r="E130" s="79">
        <f t="shared" si="212"/>
        <v>17425</v>
      </c>
      <c r="F130" s="79">
        <f t="shared" si="212"/>
        <v>18825</v>
      </c>
      <c r="G130" s="79">
        <f t="shared" si="212"/>
        <v>20225</v>
      </c>
      <c r="H130" s="79">
        <f t="shared" si="212"/>
        <v>21625</v>
      </c>
      <c r="I130" s="79">
        <f t="shared" si="212"/>
        <v>23025</v>
      </c>
      <c r="J130" s="80">
        <f t="shared" si="203"/>
        <v>305</v>
      </c>
      <c r="K130" s="80">
        <f t="shared" si="204"/>
        <v>326</v>
      </c>
      <c r="L130" s="80">
        <f t="shared" si="205"/>
        <v>392</v>
      </c>
      <c r="M130" s="80">
        <f t="shared" si="206"/>
        <v>453</v>
      </c>
      <c r="N130" s="80">
        <f t="shared" si="207"/>
        <v>505</v>
      </c>
      <c r="O130" s="80">
        <f t="shared" si="208"/>
        <v>558</v>
      </c>
      <c r="P130" s="81"/>
      <c r="Q130" s="81"/>
      <c r="R130" s="81"/>
      <c r="S130" s="81"/>
      <c r="T130" s="81"/>
      <c r="U130" s="81"/>
      <c r="V130" s="81"/>
      <c r="W130" s="81"/>
      <c r="X130" s="81"/>
      <c r="Y130" s="81"/>
      <c r="Z130" s="81"/>
      <c r="AA130" s="81"/>
      <c r="AB130" s="81"/>
      <c r="AC130" s="81"/>
      <c r="AD130" s="81"/>
      <c r="AE130" s="81"/>
      <c r="AF130" s="81"/>
    </row>
    <row r="131" spans="1:32">
      <c r="A131" s="76" t="s">
        <v>865</v>
      </c>
      <c r="B131" s="79">
        <f>B135*2*0.3</f>
        <v>14640</v>
      </c>
      <c r="C131" s="79">
        <f t="shared" ref="C131:I131" si="213">C135*2*0.3</f>
        <v>16740</v>
      </c>
      <c r="D131" s="79">
        <f t="shared" si="213"/>
        <v>18840</v>
      </c>
      <c r="E131" s="79">
        <f t="shared" si="213"/>
        <v>20910</v>
      </c>
      <c r="F131" s="79">
        <f t="shared" si="213"/>
        <v>22590</v>
      </c>
      <c r="G131" s="79">
        <f t="shared" si="213"/>
        <v>24270</v>
      </c>
      <c r="H131" s="79">
        <f t="shared" si="213"/>
        <v>25950</v>
      </c>
      <c r="I131" s="79">
        <f t="shared" si="213"/>
        <v>27630</v>
      </c>
      <c r="J131" s="80">
        <f t="shared" si="203"/>
        <v>366</v>
      </c>
      <c r="K131" s="80">
        <f t="shared" si="204"/>
        <v>392</v>
      </c>
      <c r="L131" s="80">
        <f t="shared" si="205"/>
        <v>471</v>
      </c>
      <c r="M131" s="80">
        <f t="shared" si="206"/>
        <v>543</v>
      </c>
      <c r="N131" s="80">
        <f t="shared" si="207"/>
        <v>606</v>
      </c>
      <c r="O131" s="80">
        <f t="shared" si="208"/>
        <v>669</v>
      </c>
      <c r="P131" s="81"/>
      <c r="Q131" s="81"/>
      <c r="R131" s="81"/>
      <c r="S131" s="81"/>
      <c r="T131" s="81"/>
      <c r="U131" s="81"/>
      <c r="V131" s="81"/>
      <c r="W131" s="81"/>
      <c r="X131" s="81"/>
      <c r="Y131" s="81"/>
      <c r="Z131" s="81"/>
      <c r="AA131" s="81"/>
      <c r="AB131" s="81"/>
      <c r="AC131" s="81"/>
      <c r="AD131" s="81"/>
      <c r="AE131" s="81"/>
      <c r="AF131" s="81"/>
    </row>
    <row r="132" spans="1:32">
      <c r="A132" s="76" t="s">
        <v>866</v>
      </c>
      <c r="B132" s="79">
        <f>B135*2*0.35</f>
        <v>17080</v>
      </c>
      <c r="C132" s="79">
        <f t="shared" ref="C132:I132" si="214">C135*2*0.35</f>
        <v>19530</v>
      </c>
      <c r="D132" s="79">
        <f t="shared" si="214"/>
        <v>21980</v>
      </c>
      <c r="E132" s="79">
        <f t="shared" si="214"/>
        <v>24395</v>
      </c>
      <c r="F132" s="79">
        <f t="shared" si="214"/>
        <v>26355</v>
      </c>
      <c r="G132" s="79">
        <f t="shared" si="214"/>
        <v>28315</v>
      </c>
      <c r="H132" s="79">
        <f t="shared" si="214"/>
        <v>30274.999999999996</v>
      </c>
      <c r="I132" s="79">
        <f t="shared" si="214"/>
        <v>32234.999999999996</v>
      </c>
      <c r="J132" s="80">
        <f t="shared" si="203"/>
        <v>427</v>
      </c>
      <c r="K132" s="80">
        <f t="shared" si="204"/>
        <v>457</v>
      </c>
      <c r="L132" s="80">
        <f t="shared" si="205"/>
        <v>549</v>
      </c>
      <c r="M132" s="80">
        <f t="shared" si="206"/>
        <v>634</v>
      </c>
      <c r="N132" s="80">
        <f t="shared" si="207"/>
        <v>707</v>
      </c>
      <c r="O132" s="80">
        <f t="shared" si="208"/>
        <v>781</v>
      </c>
      <c r="P132" s="81"/>
      <c r="Q132" s="81"/>
      <c r="R132" s="81"/>
      <c r="S132" s="81"/>
      <c r="T132" s="81"/>
      <c r="U132" s="81"/>
      <c r="V132" s="81"/>
      <c r="W132" s="81"/>
      <c r="X132" s="81"/>
      <c r="Y132" s="81"/>
      <c r="Z132" s="81"/>
      <c r="AA132" s="81"/>
      <c r="AB132" s="81"/>
      <c r="AC132" s="81"/>
      <c r="AD132" s="81"/>
      <c r="AE132" s="81"/>
      <c r="AF132" s="81"/>
    </row>
    <row r="133" spans="1:32">
      <c r="A133" s="76" t="s">
        <v>867</v>
      </c>
      <c r="B133" s="79">
        <f>B135*2*0.4</f>
        <v>19520</v>
      </c>
      <c r="C133" s="79">
        <f t="shared" ref="C133:I133" si="215">C135*2*0.4</f>
        <v>22320</v>
      </c>
      <c r="D133" s="79">
        <f t="shared" si="215"/>
        <v>25120</v>
      </c>
      <c r="E133" s="79">
        <f t="shared" si="215"/>
        <v>27880</v>
      </c>
      <c r="F133" s="79">
        <f t="shared" si="215"/>
        <v>30120</v>
      </c>
      <c r="G133" s="79">
        <f t="shared" si="215"/>
        <v>32360</v>
      </c>
      <c r="H133" s="79">
        <f t="shared" si="215"/>
        <v>34600</v>
      </c>
      <c r="I133" s="79">
        <f t="shared" si="215"/>
        <v>36840</v>
      </c>
      <c r="J133" s="80">
        <f t="shared" si="203"/>
        <v>488</v>
      </c>
      <c r="K133" s="80">
        <f t="shared" si="204"/>
        <v>523</v>
      </c>
      <c r="L133" s="80">
        <f t="shared" si="205"/>
        <v>628</v>
      </c>
      <c r="M133" s="80">
        <f t="shared" si="206"/>
        <v>725</v>
      </c>
      <c r="N133" s="80">
        <f t="shared" si="207"/>
        <v>809</v>
      </c>
      <c r="O133" s="80">
        <f t="shared" si="208"/>
        <v>893</v>
      </c>
      <c r="P133" s="81"/>
      <c r="Q133" s="81"/>
      <c r="R133" s="81"/>
      <c r="S133" s="81"/>
      <c r="T133" s="81"/>
      <c r="U133" s="81"/>
      <c r="V133" s="81"/>
      <c r="W133" s="81"/>
      <c r="X133" s="81"/>
      <c r="Y133" s="81"/>
      <c r="Z133" s="81"/>
      <c r="AA133" s="81"/>
      <c r="AB133" s="81"/>
      <c r="AC133" s="81"/>
      <c r="AD133" s="81"/>
      <c r="AE133" s="81"/>
      <c r="AF133" s="81"/>
    </row>
    <row r="134" spans="1:32">
      <c r="A134" s="76" t="s">
        <v>868</v>
      </c>
      <c r="B134" s="79">
        <f>B135*2*0.45</f>
        <v>21960</v>
      </c>
      <c r="C134" s="79">
        <f t="shared" ref="C134:I134" si="216">C135*2*0.45</f>
        <v>25110</v>
      </c>
      <c r="D134" s="79">
        <f t="shared" si="216"/>
        <v>28260</v>
      </c>
      <c r="E134" s="79">
        <f t="shared" si="216"/>
        <v>31365</v>
      </c>
      <c r="F134" s="79">
        <f t="shared" si="216"/>
        <v>33885</v>
      </c>
      <c r="G134" s="79">
        <f t="shared" si="216"/>
        <v>36405</v>
      </c>
      <c r="H134" s="79">
        <f t="shared" si="216"/>
        <v>38925</v>
      </c>
      <c r="I134" s="79">
        <f t="shared" si="216"/>
        <v>41445</v>
      </c>
      <c r="J134" s="80">
        <f t="shared" si="203"/>
        <v>549</v>
      </c>
      <c r="K134" s="80">
        <f t="shared" si="204"/>
        <v>588</v>
      </c>
      <c r="L134" s="80">
        <f t="shared" si="205"/>
        <v>706</v>
      </c>
      <c r="M134" s="80">
        <f t="shared" si="206"/>
        <v>815</v>
      </c>
      <c r="N134" s="80">
        <f t="shared" si="207"/>
        <v>910</v>
      </c>
      <c r="O134" s="80">
        <f t="shared" si="208"/>
        <v>1004</v>
      </c>
      <c r="P134" s="81"/>
      <c r="Q134" s="81"/>
      <c r="R134" s="81"/>
      <c r="S134" s="81"/>
      <c r="T134" s="81"/>
      <c r="U134" s="81"/>
      <c r="V134" s="81"/>
      <c r="W134" s="81"/>
      <c r="X134" s="81"/>
      <c r="Y134" s="81"/>
      <c r="Z134" s="81"/>
      <c r="AA134" s="81"/>
      <c r="AB134" s="81"/>
      <c r="AC134" s="81"/>
      <c r="AD134" s="81"/>
      <c r="AE134" s="81"/>
      <c r="AF134" s="81"/>
    </row>
    <row r="135" spans="1:32">
      <c r="A135" s="82" t="s">
        <v>869</v>
      </c>
      <c r="B135" s="84">
        <f>'MTSP 50% Income Limits '!B9</f>
        <v>24400</v>
      </c>
      <c r="C135" s="84">
        <f>'MTSP 50% Income Limits '!C9</f>
        <v>27900</v>
      </c>
      <c r="D135" s="84">
        <f>'MTSP 50% Income Limits '!D9</f>
        <v>31400</v>
      </c>
      <c r="E135" s="84">
        <f>'MTSP 50% Income Limits '!E9</f>
        <v>34850</v>
      </c>
      <c r="F135" s="84">
        <f>'MTSP 50% Income Limits '!F9</f>
        <v>37650</v>
      </c>
      <c r="G135" s="84">
        <f>'MTSP 50% Income Limits '!G9</f>
        <v>40450</v>
      </c>
      <c r="H135" s="84">
        <f>'MTSP 50% Income Limits '!H9</f>
        <v>43250</v>
      </c>
      <c r="I135" s="84">
        <f>'MTSP 50% Income Limits '!I9</f>
        <v>46050</v>
      </c>
      <c r="J135" s="83">
        <f>TRUNC(B135/12*0.3)</f>
        <v>610</v>
      </c>
      <c r="K135" s="83">
        <f>TRUNC((B135+C135)/2/12*0.3)</f>
        <v>653</v>
      </c>
      <c r="L135" s="83">
        <f>TRUNC((D135)/12*0.3)</f>
        <v>785</v>
      </c>
      <c r="M135" s="83">
        <f>TRUNC(((E135+F135)/2)/12*0.3)</f>
        <v>906</v>
      </c>
      <c r="N135" s="83">
        <f>TRUNC(G135/12*0.3)</f>
        <v>1011</v>
      </c>
      <c r="O135" s="83">
        <f>TRUNC(((H135+I135)/2)/12*0.3)</f>
        <v>1116</v>
      </c>
      <c r="P135" s="81"/>
      <c r="Q135" s="81"/>
      <c r="R135" s="81"/>
      <c r="S135" s="81"/>
      <c r="T135" s="81"/>
      <c r="U135" s="81"/>
      <c r="V135" s="81"/>
      <c r="W135" s="81"/>
      <c r="X135" s="81"/>
      <c r="Y135" s="81"/>
      <c r="Z135" s="81"/>
      <c r="AA135" s="81"/>
      <c r="AB135" s="81"/>
      <c r="AC135" s="81"/>
      <c r="AD135" s="81"/>
      <c r="AE135" s="81"/>
      <c r="AF135" s="81"/>
    </row>
    <row r="136" spans="1:32">
      <c r="A136" s="76" t="s">
        <v>870</v>
      </c>
      <c r="B136" s="79">
        <f>B135*2*0.55</f>
        <v>26840.000000000004</v>
      </c>
      <c r="C136" s="79">
        <f t="shared" ref="C136:I136" si="217">C135*2*0.55</f>
        <v>30690.000000000004</v>
      </c>
      <c r="D136" s="79">
        <f t="shared" si="217"/>
        <v>34540</v>
      </c>
      <c r="E136" s="79">
        <f t="shared" si="217"/>
        <v>38335</v>
      </c>
      <c r="F136" s="79">
        <f t="shared" si="217"/>
        <v>41415</v>
      </c>
      <c r="G136" s="79">
        <f t="shared" si="217"/>
        <v>44495</v>
      </c>
      <c r="H136" s="79">
        <f t="shared" si="217"/>
        <v>47575.000000000007</v>
      </c>
      <c r="I136" s="79">
        <f t="shared" si="217"/>
        <v>50655.000000000007</v>
      </c>
      <c r="J136" s="80">
        <f t="shared" ref="J136:J142" si="218">TRUNC(B136/12*0.3)</f>
        <v>671</v>
      </c>
      <c r="K136" s="80">
        <f t="shared" ref="K136:K142" si="219">TRUNC((B136+C136)/2/12*0.3)</f>
        <v>719</v>
      </c>
      <c r="L136" s="80">
        <f t="shared" ref="L136:L142" si="220">TRUNC((D136)/12*0.3)</f>
        <v>863</v>
      </c>
      <c r="M136" s="80">
        <f t="shared" ref="M136:M142" si="221">TRUNC(((E136+F136)/2)/12*0.3)</f>
        <v>996</v>
      </c>
      <c r="N136" s="80">
        <f t="shared" ref="N136:N142" si="222">TRUNC(G136/12*0.3)</f>
        <v>1112</v>
      </c>
      <c r="O136" s="80">
        <f t="shared" ref="O136:O142" si="223">TRUNC(((H136+I136)/2)/12*0.3)</f>
        <v>1227</v>
      </c>
      <c r="P136" s="81"/>
      <c r="Q136" s="81"/>
      <c r="R136" s="81"/>
      <c r="S136" s="81"/>
      <c r="T136" s="81"/>
      <c r="U136" s="81"/>
      <c r="V136" s="81"/>
      <c r="W136" s="81"/>
      <c r="X136" s="81"/>
      <c r="Y136" s="81"/>
      <c r="Z136" s="81"/>
      <c r="AA136" s="81"/>
      <c r="AB136" s="81"/>
      <c r="AC136" s="81"/>
      <c r="AD136" s="81"/>
      <c r="AE136" s="81"/>
      <c r="AF136" s="81"/>
    </row>
    <row r="137" spans="1:32">
      <c r="A137" s="76" t="s">
        <v>871</v>
      </c>
      <c r="B137" s="79">
        <f>B135*2*0.6</f>
        <v>29280</v>
      </c>
      <c r="C137" s="79">
        <f t="shared" ref="C137:I137" si="224">C135*2*0.6</f>
        <v>33480</v>
      </c>
      <c r="D137" s="79">
        <f t="shared" si="224"/>
        <v>37680</v>
      </c>
      <c r="E137" s="79">
        <f t="shared" si="224"/>
        <v>41820</v>
      </c>
      <c r="F137" s="79">
        <f t="shared" si="224"/>
        <v>45180</v>
      </c>
      <c r="G137" s="79">
        <f t="shared" si="224"/>
        <v>48540</v>
      </c>
      <c r="H137" s="79">
        <f t="shared" si="224"/>
        <v>51900</v>
      </c>
      <c r="I137" s="79">
        <f t="shared" si="224"/>
        <v>55260</v>
      </c>
      <c r="J137" s="80">
        <f t="shared" si="218"/>
        <v>732</v>
      </c>
      <c r="K137" s="80">
        <f t="shared" si="219"/>
        <v>784</v>
      </c>
      <c r="L137" s="80">
        <f t="shared" si="220"/>
        <v>942</v>
      </c>
      <c r="M137" s="80">
        <f t="shared" si="221"/>
        <v>1087</v>
      </c>
      <c r="N137" s="80">
        <f t="shared" si="222"/>
        <v>1213</v>
      </c>
      <c r="O137" s="80">
        <f t="shared" si="223"/>
        <v>1339</v>
      </c>
      <c r="P137" s="81"/>
      <c r="Q137" s="81"/>
      <c r="R137" s="81"/>
      <c r="S137" s="81"/>
      <c r="T137" s="81"/>
      <c r="U137" s="81"/>
      <c r="V137" s="81"/>
      <c r="W137" s="81"/>
      <c r="X137" s="81"/>
      <c r="Y137" s="81"/>
      <c r="Z137" s="81"/>
      <c r="AA137" s="81"/>
      <c r="AB137" s="81"/>
      <c r="AC137" s="81"/>
      <c r="AD137" s="81"/>
      <c r="AE137" s="81"/>
      <c r="AF137" s="81"/>
    </row>
    <row r="138" spans="1:32">
      <c r="A138" s="76" t="s">
        <v>872</v>
      </c>
      <c r="B138" s="79">
        <f>B135*2*0.65</f>
        <v>31720</v>
      </c>
      <c r="C138" s="79">
        <f t="shared" ref="C138:I138" si="225">C135*2*0.65</f>
        <v>36270</v>
      </c>
      <c r="D138" s="79">
        <f t="shared" si="225"/>
        <v>40820</v>
      </c>
      <c r="E138" s="79">
        <f t="shared" si="225"/>
        <v>45305</v>
      </c>
      <c r="F138" s="79">
        <f t="shared" si="225"/>
        <v>48945</v>
      </c>
      <c r="G138" s="79">
        <f t="shared" si="225"/>
        <v>52585</v>
      </c>
      <c r="H138" s="79">
        <f t="shared" si="225"/>
        <v>56225</v>
      </c>
      <c r="I138" s="79">
        <f t="shared" si="225"/>
        <v>59865</v>
      </c>
      <c r="J138" s="80">
        <f t="shared" si="218"/>
        <v>793</v>
      </c>
      <c r="K138" s="80">
        <f t="shared" si="219"/>
        <v>849</v>
      </c>
      <c r="L138" s="80">
        <f t="shared" si="220"/>
        <v>1020</v>
      </c>
      <c r="M138" s="80">
        <f t="shared" si="221"/>
        <v>1178</v>
      </c>
      <c r="N138" s="80">
        <f t="shared" si="222"/>
        <v>1314</v>
      </c>
      <c r="O138" s="80">
        <f t="shared" si="223"/>
        <v>1451</v>
      </c>
      <c r="P138" s="81"/>
      <c r="Q138" s="81"/>
      <c r="R138" s="81"/>
      <c r="S138" s="81"/>
      <c r="T138" s="81"/>
      <c r="U138" s="81"/>
      <c r="V138" s="81"/>
      <c r="W138" s="81"/>
      <c r="X138" s="81"/>
      <c r="Y138" s="81"/>
      <c r="Z138" s="81"/>
      <c r="AA138" s="81"/>
      <c r="AB138" s="81"/>
      <c r="AC138" s="81"/>
      <c r="AD138" s="81"/>
      <c r="AE138" s="81"/>
      <c r="AF138" s="81"/>
    </row>
    <row r="139" spans="1:32">
      <c r="A139" s="76" t="s">
        <v>873</v>
      </c>
      <c r="B139" s="79">
        <f>B135*2*0.7</f>
        <v>34160</v>
      </c>
      <c r="C139" s="79">
        <f t="shared" ref="C139:I139" si="226">C135*2*0.7</f>
        <v>39060</v>
      </c>
      <c r="D139" s="79">
        <f t="shared" si="226"/>
        <v>43960</v>
      </c>
      <c r="E139" s="79">
        <f t="shared" si="226"/>
        <v>48790</v>
      </c>
      <c r="F139" s="79">
        <f t="shared" si="226"/>
        <v>52710</v>
      </c>
      <c r="G139" s="79">
        <f t="shared" si="226"/>
        <v>56630</v>
      </c>
      <c r="H139" s="79">
        <f t="shared" si="226"/>
        <v>60549.999999999993</v>
      </c>
      <c r="I139" s="79">
        <f t="shared" si="226"/>
        <v>64469.999999999993</v>
      </c>
      <c r="J139" s="80">
        <f t="shared" si="218"/>
        <v>854</v>
      </c>
      <c r="K139" s="80">
        <f t="shared" si="219"/>
        <v>915</v>
      </c>
      <c r="L139" s="80">
        <f t="shared" si="220"/>
        <v>1099</v>
      </c>
      <c r="M139" s="80">
        <f t="shared" si="221"/>
        <v>1268</v>
      </c>
      <c r="N139" s="80">
        <f t="shared" si="222"/>
        <v>1415</v>
      </c>
      <c r="O139" s="80">
        <f t="shared" si="223"/>
        <v>1562</v>
      </c>
      <c r="P139" s="81"/>
      <c r="Q139" s="81"/>
      <c r="R139" s="81"/>
      <c r="S139" s="81"/>
      <c r="T139" s="81"/>
      <c r="U139" s="81"/>
      <c r="V139" s="81"/>
      <c r="W139" s="81"/>
      <c r="X139" s="81"/>
      <c r="Y139" s="81"/>
      <c r="Z139" s="81"/>
      <c r="AA139" s="81"/>
      <c r="AB139" s="81"/>
      <c r="AC139" s="81"/>
      <c r="AD139" s="81"/>
      <c r="AE139" s="81"/>
      <c r="AF139" s="81"/>
    </row>
    <row r="140" spans="1:32">
      <c r="A140" s="76" t="s">
        <v>874</v>
      </c>
      <c r="B140" s="79">
        <f>B135*2*0.75</f>
        <v>36600</v>
      </c>
      <c r="C140" s="79">
        <f t="shared" ref="C140:I140" si="227">C135*2*0.75</f>
        <v>41850</v>
      </c>
      <c r="D140" s="79">
        <f t="shared" si="227"/>
        <v>47100</v>
      </c>
      <c r="E140" s="79">
        <f t="shared" si="227"/>
        <v>52275</v>
      </c>
      <c r="F140" s="79">
        <f t="shared" si="227"/>
        <v>56475</v>
      </c>
      <c r="G140" s="79">
        <f t="shared" si="227"/>
        <v>60675</v>
      </c>
      <c r="H140" s="79">
        <f t="shared" si="227"/>
        <v>64875</v>
      </c>
      <c r="I140" s="79">
        <f t="shared" si="227"/>
        <v>69075</v>
      </c>
      <c r="J140" s="80">
        <f t="shared" si="218"/>
        <v>915</v>
      </c>
      <c r="K140" s="80">
        <f t="shared" si="219"/>
        <v>980</v>
      </c>
      <c r="L140" s="80">
        <f t="shared" si="220"/>
        <v>1177</v>
      </c>
      <c r="M140" s="80">
        <f t="shared" si="221"/>
        <v>1359</v>
      </c>
      <c r="N140" s="80">
        <f t="shared" si="222"/>
        <v>1516</v>
      </c>
      <c r="O140" s="80">
        <f t="shared" si="223"/>
        <v>1674</v>
      </c>
      <c r="P140" s="81"/>
      <c r="Q140" s="81"/>
      <c r="R140" s="81"/>
      <c r="S140" s="81"/>
      <c r="T140" s="81"/>
      <c r="U140" s="81"/>
      <c r="V140" s="81"/>
      <c r="W140" s="81"/>
      <c r="X140" s="81"/>
      <c r="Y140" s="81"/>
      <c r="Z140" s="81"/>
      <c r="AA140" s="81"/>
      <c r="AB140" s="81"/>
      <c r="AC140" s="81"/>
      <c r="AD140" s="81"/>
      <c r="AE140" s="81"/>
      <c r="AF140" s="81"/>
    </row>
    <row r="141" spans="1:32">
      <c r="A141" s="76" t="s">
        <v>875</v>
      </c>
      <c r="B141" s="79">
        <f>B135*2*0.8</f>
        <v>39040</v>
      </c>
      <c r="C141" s="79">
        <f t="shared" ref="C141:I141" si="228">C135*2*0.8</f>
        <v>44640</v>
      </c>
      <c r="D141" s="79">
        <f t="shared" si="228"/>
        <v>50240</v>
      </c>
      <c r="E141" s="79">
        <f t="shared" si="228"/>
        <v>55760</v>
      </c>
      <c r="F141" s="79">
        <f t="shared" si="228"/>
        <v>60240</v>
      </c>
      <c r="G141" s="79">
        <f t="shared" si="228"/>
        <v>64720</v>
      </c>
      <c r="H141" s="79">
        <f t="shared" si="228"/>
        <v>69200</v>
      </c>
      <c r="I141" s="79">
        <f t="shared" si="228"/>
        <v>73680</v>
      </c>
      <c r="J141" s="80">
        <f t="shared" si="218"/>
        <v>976</v>
      </c>
      <c r="K141" s="80">
        <f t="shared" si="219"/>
        <v>1046</v>
      </c>
      <c r="L141" s="80">
        <f t="shared" si="220"/>
        <v>1256</v>
      </c>
      <c r="M141" s="80">
        <f t="shared" si="221"/>
        <v>1450</v>
      </c>
      <c r="N141" s="80">
        <f t="shared" si="222"/>
        <v>1618</v>
      </c>
      <c r="O141" s="80">
        <f t="shared" si="223"/>
        <v>1786</v>
      </c>
      <c r="P141" s="81"/>
      <c r="Q141" s="81"/>
      <c r="R141" s="81"/>
      <c r="S141" s="81"/>
      <c r="T141" s="81"/>
      <c r="U141" s="81"/>
      <c r="V141" s="81"/>
      <c r="W141" s="81"/>
      <c r="X141" s="81"/>
      <c r="Y141" s="81"/>
      <c r="Z141" s="81"/>
      <c r="AA141" s="81"/>
      <c r="AB141" s="81"/>
      <c r="AC141" s="81"/>
      <c r="AD141" s="81"/>
      <c r="AE141" s="81"/>
      <c r="AF141" s="81"/>
    </row>
    <row r="142" spans="1:32">
      <c r="A142" s="76" t="s">
        <v>876</v>
      </c>
      <c r="B142" s="79">
        <f>B135*2*0.9</f>
        <v>43920</v>
      </c>
      <c r="C142" s="79">
        <f t="shared" ref="C142:I142" si="229">C135*2*0.9</f>
        <v>50220</v>
      </c>
      <c r="D142" s="79">
        <f t="shared" si="229"/>
        <v>56520</v>
      </c>
      <c r="E142" s="79">
        <f t="shared" si="229"/>
        <v>62730</v>
      </c>
      <c r="F142" s="79">
        <f t="shared" si="229"/>
        <v>67770</v>
      </c>
      <c r="G142" s="79">
        <f t="shared" si="229"/>
        <v>72810</v>
      </c>
      <c r="H142" s="79">
        <f t="shared" si="229"/>
        <v>77850</v>
      </c>
      <c r="I142" s="79">
        <f t="shared" si="229"/>
        <v>82890</v>
      </c>
      <c r="J142" s="80">
        <f t="shared" si="218"/>
        <v>1098</v>
      </c>
      <c r="K142" s="80">
        <f t="shared" si="219"/>
        <v>1176</v>
      </c>
      <c r="L142" s="80">
        <f t="shared" si="220"/>
        <v>1413</v>
      </c>
      <c r="M142" s="80">
        <f t="shared" si="221"/>
        <v>1631</v>
      </c>
      <c r="N142" s="80">
        <f t="shared" si="222"/>
        <v>1820</v>
      </c>
      <c r="O142" s="80">
        <f t="shared" si="223"/>
        <v>2009</v>
      </c>
      <c r="P142" s="81"/>
      <c r="Q142" s="81"/>
      <c r="R142" s="81"/>
      <c r="S142" s="81"/>
      <c r="T142" s="81"/>
      <c r="U142" s="81"/>
      <c r="V142" s="81"/>
      <c r="W142" s="81"/>
      <c r="X142" s="81"/>
      <c r="Y142" s="81"/>
      <c r="Z142" s="81"/>
      <c r="AA142" s="81"/>
      <c r="AB142" s="81"/>
      <c r="AC142" s="81"/>
      <c r="AD142" s="81"/>
      <c r="AE142" s="81"/>
      <c r="AF142" s="81"/>
    </row>
    <row r="143" spans="1:32">
      <c r="A143" s="76" t="s">
        <v>877</v>
      </c>
      <c r="B143" s="79">
        <f>B135*2</f>
        <v>48800</v>
      </c>
      <c r="C143" s="79">
        <f t="shared" ref="C143:I143" si="230">C135*2</f>
        <v>55800</v>
      </c>
      <c r="D143" s="79">
        <f t="shared" si="230"/>
        <v>62800</v>
      </c>
      <c r="E143" s="79">
        <f t="shared" si="230"/>
        <v>69700</v>
      </c>
      <c r="F143" s="79">
        <f t="shared" si="230"/>
        <v>75300</v>
      </c>
      <c r="G143" s="79">
        <f t="shared" si="230"/>
        <v>80900</v>
      </c>
      <c r="H143" s="79">
        <f t="shared" si="230"/>
        <v>86500</v>
      </c>
      <c r="I143" s="79">
        <f t="shared" si="230"/>
        <v>92100</v>
      </c>
      <c r="J143" s="80">
        <f>J135*2</f>
        <v>1220</v>
      </c>
      <c r="K143" s="80">
        <f t="shared" ref="K143:O143" si="231">K135*2</f>
        <v>1306</v>
      </c>
      <c r="L143" s="80">
        <f t="shared" si="231"/>
        <v>1570</v>
      </c>
      <c r="M143" s="80">
        <f t="shared" si="231"/>
        <v>1812</v>
      </c>
      <c r="N143" s="80">
        <f t="shared" si="231"/>
        <v>2022</v>
      </c>
      <c r="O143" s="80">
        <f t="shared" si="231"/>
        <v>2232</v>
      </c>
      <c r="P143" s="81"/>
      <c r="Q143" s="81"/>
      <c r="R143" s="81"/>
      <c r="S143" s="81"/>
      <c r="T143" s="81"/>
      <c r="U143" s="81"/>
      <c r="V143" s="81"/>
      <c r="W143" s="81"/>
      <c r="X143" s="81"/>
      <c r="Y143" s="81"/>
      <c r="Z143" s="81"/>
      <c r="AA143" s="81"/>
      <c r="AB143" s="81"/>
      <c r="AC143" s="81"/>
      <c r="AD143" s="81"/>
      <c r="AE143" s="81"/>
      <c r="AF143" s="81"/>
    </row>
    <row r="144" spans="1:32">
      <c r="A144" s="76" t="s">
        <v>878</v>
      </c>
      <c r="B144" s="79">
        <f>B135*2*1.1</f>
        <v>53680.000000000007</v>
      </c>
      <c r="C144" s="79">
        <f t="shared" ref="C144:I144" si="232">C135*2*1.1</f>
        <v>61380.000000000007</v>
      </c>
      <c r="D144" s="79">
        <f t="shared" si="232"/>
        <v>69080</v>
      </c>
      <c r="E144" s="79">
        <f t="shared" si="232"/>
        <v>76670</v>
      </c>
      <c r="F144" s="79">
        <f t="shared" si="232"/>
        <v>82830</v>
      </c>
      <c r="G144" s="79">
        <f t="shared" si="232"/>
        <v>88990</v>
      </c>
      <c r="H144" s="79">
        <f t="shared" si="232"/>
        <v>95150.000000000015</v>
      </c>
      <c r="I144" s="79">
        <f t="shared" si="232"/>
        <v>101310.00000000001</v>
      </c>
      <c r="J144" s="80">
        <f t="shared" ref="J144:J152" si="233">TRUNC(B144/12*0.3)</f>
        <v>1342</v>
      </c>
      <c r="K144" s="80">
        <f t="shared" ref="K144:K152" si="234">TRUNC((B144+C144)/2/12*0.3)</f>
        <v>1438</v>
      </c>
      <c r="L144" s="80">
        <f t="shared" ref="L144:L152" si="235">TRUNC((D144)/12*0.3)</f>
        <v>1727</v>
      </c>
      <c r="M144" s="80">
        <f t="shared" ref="M144:M152" si="236">TRUNC(((E144+F144)/2)/12*0.3)</f>
        <v>1993</v>
      </c>
      <c r="N144" s="80">
        <f t="shared" ref="N144:N152" si="237">TRUNC(G144/12*0.3)</f>
        <v>2224</v>
      </c>
      <c r="O144" s="80">
        <f t="shared" ref="O144:O152" si="238">TRUNC(((H144+I144)/2)/12*0.3)</f>
        <v>2455</v>
      </c>
      <c r="P144" s="81"/>
      <c r="Q144" s="81"/>
      <c r="R144" s="81"/>
      <c r="S144" s="81"/>
      <c r="T144" s="81"/>
      <c r="U144" s="81"/>
      <c r="V144" s="81"/>
      <c r="W144" s="81"/>
      <c r="X144" s="81"/>
      <c r="Y144" s="81"/>
      <c r="Z144" s="81"/>
      <c r="AA144" s="81"/>
      <c r="AB144" s="81"/>
      <c r="AC144" s="81"/>
      <c r="AD144" s="81"/>
      <c r="AE144" s="81"/>
      <c r="AF144" s="81"/>
    </row>
    <row r="145" spans="1:32">
      <c r="A145" s="76" t="s">
        <v>879</v>
      </c>
      <c r="B145" s="79">
        <f>B135*2*1.2</f>
        <v>58560</v>
      </c>
      <c r="C145" s="79">
        <f t="shared" ref="C145:I145" si="239">C135*2*1.2</f>
        <v>66960</v>
      </c>
      <c r="D145" s="79">
        <f t="shared" si="239"/>
        <v>75360</v>
      </c>
      <c r="E145" s="79">
        <f t="shared" si="239"/>
        <v>83640</v>
      </c>
      <c r="F145" s="79">
        <f t="shared" si="239"/>
        <v>90360</v>
      </c>
      <c r="G145" s="79">
        <f t="shared" si="239"/>
        <v>97080</v>
      </c>
      <c r="H145" s="79">
        <f t="shared" si="239"/>
        <v>103800</v>
      </c>
      <c r="I145" s="79">
        <f t="shared" si="239"/>
        <v>110520</v>
      </c>
      <c r="J145" s="80">
        <f t="shared" si="233"/>
        <v>1464</v>
      </c>
      <c r="K145" s="80">
        <f t="shared" si="234"/>
        <v>1569</v>
      </c>
      <c r="L145" s="80">
        <f t="shared" si="235"/>
        <v>1884</v>
      </c>
      <c r="M145" s="80">
        <f t="shared" si="236"/>
        <v>2175</v>
      </c>
      <c r="N145" s="80">
        <f t="shared" si="237"/>
        <v>2427</v>
      </c>
      <c r="O145" s="80">
        <f t="shared" si="238"/>
        <v>2679</v>
      </c>
      <c r="P145" s="81"/>
      <c r="Q145" s="81"/>
      <c r="R145" s="81"/>
      <c r="S145" s="81"/>
      <c r="T145" s="81"/>
      <c r="U145" s="81"/>
      <c r="V145" s="81"/>
      <c r="W145" s="81"/>
      <c r="X145" s="81"/>
      <c r="Y145" s="81"/>
      <c r="Z145" s="81"/>
      <c r="AA145" s="81"/>
      <c r="AB145" s="81"/>
      <c r="AC145" s="81"/>
      <c r="AD145" s="81"/>
      <c r="AE145" s="81"/>
      <c r="AF145" s="81"/>
    </row>
    <row r="146" spans="1:32">
      <c r="A146" s="76" t="s">
        <v>880</v>
      </c>
      <c r="B146" s="79">
        <f>B153*2*0.15</f>
        <v>9525</v>
      </c>
      <c r="C146" s="79">
        <f>C153*2*0.15</f>
        <v>10875</v>
      </c>
      <c r="D146" s="79">
        <f>D153*2*0.15</f>
        <v>12240</v>
      </c>
      <c r="E146" s="79">
        <f>E153*2*0.15</f>
        <v>13590</v>
      </c>
      <c r="F146" s="79">
        <f>F153*2*0.15</f>
        <v>14685</v>
      </c>
      <c r="G146" s="79">
        <f t="shared" ref="G146:I146" si="240">G153*2*0.15</f>
        <v>15765</v>
      </c>
      <c r="H146" s="79">
        <f t="shared" si="240"/>
        <v>16860</v>
      </c>
      <c r="I146" s="79">
        <f t="shared" si="240"/>
        <v>17940</v>
      </c>
      <c r="J146" s="80">
        <f t="shared" si="233"/>
        <v>238</v>
      </c>
      <c r="K146" s="80">
        <f t="shared" si="234"/>
        <v>255</v>
      </c>
      <c r="L146" s="80">
        <f t="shared" si="235"/>
        <v>306</v>
      </c>
      <c r="M146" s="80">
        <f t="shared" si="236"/>
        <v>353</v>
      </c>
      <c r="N146" s="80">
        <f t="shared" si="237"/>
        <v>394</v>
      </c>
      <c r="O146" s="80">
        <f t="shared" si="238"/>
        <v>435</v>
      </c>
      <c r="P146" s="81"/>
      <c r="Q146" s="81"/>
      <c r="R146" s="81"/>
      <c r="S146" s="81"/>
      <c r="T146" s="81"/>
      <c r="U146" s="81"/>
      <c r="V146" s="81"/>
      <c r="W146" s="81"/>
      <c r="X146" s="81"/>
      <c r="Y146" s="81"/>
      <c r="Z146" s="81"/>
      <c r="AA146" s="81"/>
      <c r="AB146" s="81"/>
      <c r="AC146" s="81"/>
      <c r="AD146" s="81"/>
      <c r="AE146" s="81"/>
      <c r="AF146" s="81"/>
    </row>
    <row r="147" spans="1:32">
      <c r="A147" s="76" t="s">
        <v>881</v>
      </c>
      <c r="B147" s="79">
        <f>B153*2*0.2</f>
        <v>12700</v>
      </c>
      <c r="C147" s="79">
        <f t="shared" ref="C147:I147" si="241">C153*2*0.2</f>
        <v>14500</v>
      </c>
      <c r="D147" s="79">
        <f t="shared" si="241"/>
        <v>16320</v>
      </c>
      <c r="E147" s="79">
        <f t="shared" si="241"/>
        <v>18120</v>
      </c>
      <c r="F147" s="79">
        <f t="shared" si="241"/>
        <v>19580</v>
      </c>
      <c r="G147" s="79">
        <f t="shared" si="241"/>
        <v>21020</v>
      </c>
      <c r="H147" s="79">
        <f t="shared" si="241"/>
        <v>22480</v>
      </c>
      <c r="I147" s="79">
        <f t="shared" si="241"/>
        <v>23920</v>
      </c>
      <c r="J147" s="80">
        <f t="shared" si="233"/>
        <v>317</v>
      </c>
      <c r="K147" s="80">
        <f t="shared" si="234"/>
        <v>340</v>
      </c>
      <c r="L147" s="80">
        <f t="shared" si="235"/>
        <v>408</v>
      </c>
      <c r="M147" s="80">
        <f t="shared" si="236"/>
        <v>471</v>
      </c>
      <c r="N147" s="80">
        <f t="shared" si="237"/>
        <v>525</v>
      </c>
      <c r="O147" s="80">
        <f t="shared" si="238"/>
        <v>580</v>
      </c>
      <c r="P147" s="81"/>
      <c r="Q147" s="81"/>
      <c r="R147" s="81"/>
      <c r="S147" s="81"/>
      <c r="T147" s="81"/>
      <c r="U147" s="81"/>
      <c r="V147" s="81"/>
      <c r="W147" s="81"/>
      <c r="X147" s="81"/>
      <c r="Y147" s="81"/>
      <c r="Z147" s="81"/>
      <c r="AA147" s="81"/>
      <c r="AB147" s="81"/>
      <c r="AC147" s="81"/>
      <c r="AD147" s="81"/>
      <c r="AE147" s="81"/>
      <c r="AF147" s="81"/>
    </row>
    <row r="148" spans="1:32">
      <c r="A148" s="76" t="s">
        <v>882</v>
      </c>
      <c r="B148" s="79">
        <f>B153*2*0.25</f>
        <v>15875</v>
      </c>
      <c r="C148" s="79">
        <f t="shared" ref="C148:I148" si="242">C153*2*0.25</f>
        <v>18125</v>
      </c>
      <c r="D148" s="79">
        <f t="shared" si="242"/>
        <v>20400</v>
      </c>
      <c r="E148" s="79">
        <f t="shared" si="242"/>
        <v>22650</v>
      </c>
      <c r="F148" s="79">
        <f t="shared" si="242"/>
        <v>24475</v>
      </c>
      <c r="G148" s="79">
        <f t="shared" si="242"/>
        <v>26275</v>
      </c>
      <c r="H148" s="79">
        <f t="shared" si="242"/>
        <v>28100</v>
      </c>
      <c r="I148" s="79">
        <f t="shared" si="242"/>
        <v>29900</v>
      </c>
      <c r="J148" s="80">
        <f t="shared" si="233"/>
        <v>396</v>
      </c>
      <c r="K148" s="80">
        <f t="shared" si="234"/>
        <v>425</v>
      </c>
      <c r="L148" s="80">
        <f t="shared" si="235"/>
        <v>510</v>
      </c>
      <c r="M148" s="80">
        <f t="shared" si="236"/>
        <v>589</v>
      </c>
      <c r="N148" s="80">
        <f t="shared" si="237"/>
        <v>656</v>
      </c>
      <c r="O148" s="80">
        <f t="shared" si="238"/>
        <v>725</v>
      </c>
      <c r="P148" s="81"/>
      <c r="Q148" s="81"/>
      <c r="R148" s="81"/>
      <c r="S148" s="81"/>
      <c r="T148" s="81"/>
      <c r="U148" s="81"/>
      <c r="V148" s="81"/>
      <c r="W148" s="81"/>
      <c r="X148" s="81"/>
      <c r="Y148" s="81"/>
      <c r="Z148" s="81"/>
      <c r="AA148" s="81"/>
      <c r="AB148" s="81"/>
      <c r="AC148" s="81"/>
      <c r="AD148" s="81"/>
      <c r="AE148" s="81"/>
      <c r="AF148" s="81"/>
    </row>
    <row r="149" spans="1:32">
      <c r="A149" s="76" t="s">
        <v>883</v>
      </c>
      <c r="B149" s="79">
        <f>B153*2*0.3</f>
        <v>19050</v>
      </c>
      <c r="C149" s="79">
        <f t="shared" ref="C149:I149" si="243">C153*2*0.3</f>
        <v>21750</v>
      </c>
      <c r="D149" s="79">
        <f t="shared" si="243"/>
        <v>24480</v>
      </c>
      <c r="E149" s="79">
        <f t="shared" si="243"/>
        <v>27180</v>
      </c>
      <c r="F149" s="79">
        <f t="shared" si="243"/>
        <v>29370</v>
      </c>
      <c r="G149" s="79">
        <f t="shared" si="243"/>
        <v>31530</v>
      </c>
      <c r="H149" s="79">
        <f t="shared" si="243"/>
        <v>33720</v>
      </c>
      <c r="I149" s="79">
        <f t="shared" si="243"/>
        <v>35880</v>
      </c>
      <c r="J149" s="80">
        <f t="shared" si="233"/>
        <v>476</v>
      </c>
      <c r="K149" s="80">
        <f t="shared" si="234"/>
        <v>510</v>
      </c>
      <c r="L149" s="80">
        <f t="shared" si="235"/>
        <v>612</v>
      </c>
      <c r="M149" s="80">
        <f t="shared" si="236"/>
        <v>706</v>
      </c>
      <c r="N149" s="80">
        <f t="shared" si="237"/>
        <v>788</v>
      </c>
      <c r="O149" s="80">
        <f t="shared" si="238"/>
        <v>870</v>
      </c>
      <c r="P149" s="81"/>
      <c r="Q149" s="81"/>
      <c r="R149" s="81"/>
      <c r="S149" s="81"/>
      <c r="T149" s="81"/>
      <c r="U149" s="81"/>
      <c r="V149" s="81"/>
      <c r="W149" s="81"/>
      <c r="X149" s="81"/>
      <c r="Y149" s="81"/>
      <c r="Z149" s="81"/>
      <c r="AA149" s="81"/>
      <c r="AB149" s="81"/>
      <c r="AC149" s="81"/>
      <c r="AD149" s="81"/>
      <c r="AE149" s="81"/>
      <c r="AF149" s="81"/>
    </row>
    <row r="150" spans="1:32">
      <c r="A150" s="76" t="s">
        <v>884</v>
      </c>
      <c r="B150" s="79">
        <f>B153*2*0.35</f>
        <v>22225</v>
      </c>
      <c r="C150" s="79">
        <f t="shared" ref="C150:I150" si="244">C153*2*0.35</f>
        <v>25375</v>
      </c>
      <c r="D150" s="79">
        <f t="shared" si="244"/>
        <v>28560</v>
      </c>
      <c r="E150" s="79">
        <f t="shared" si="244"/>
        <v>31709.999999999996</v>
      </c>
      <c r="F150" s="79">
        <f t="shared" si="244"/>
        <v>34265</v>
      </c>
      <c r="G150" s="79">
        <f t="shared" si="244"/>
        <v>36785</v>
      </c>
      <c r="H150" s="79">
        <f t="shared" si="244"/>
        <v>39340</v>
      </c>
      <c r="I150" s="79">
        <f t="shared" si="244"/>
        <v>41860</v>
      </c>
      <c r="J150" s="80">
        <f t="shared" si="233"/>
        <v>555</v>
      </c>
      <c r="K150" s="80">
        <f t="shared" si="234"/>
        <v>595</v>
      </c>
      <c r="L150" s="80">
        <f t="shared" si="235"/>
        <v>714</v>
      </c>
      <c r="M150" s="80">
        <f t="shared" si="236"/>
        <v>824</v>
      </c>
      <c r="N150" s="80">
        <f t="shared" si="237"/>
        <v>919</v>
      </c>
      <c r="O150" s="80">
        <f t="shared" si="238"/>
        <v>1015</v>
      </c>
      <c r="P150" s="81"/>
      <c r="Q150" s="81"/>
      <c r="R150" s="81"/>
      <c r="S150" s="81"/>
      <c r="T150" s="81"/>
      <c r="U150" s="81"/>
      <c r="V150" s="81"/>
      <c r="W150" s="81"/>
      <c r="X150" s="81"/>
      <c r="Y150" s="81"/>
      <c r="Z150" s="81"/>
      <c r="AA150" s="81"/>
      <c r="AB150" s="81"/>
      <c r="AC150" s="81"/>
      <c r="AD150" s="81"/>
      <c r="AE150" s="81"/>
      <c r="AF150" s="81"/>
    </row>
    <row r="151" spans="1:32">
      <c r="A151" s="76" t="s">
        <v>885</v>
      </c>
      <c r="B151" s="79">
        <f>B153*2*0.4</f>
        <v>25400</v>
      </c>
      <c r="C151" s="79">
        <f t="shared" ref="C151:I151" si="245">C153*2*0.4</f>
        <v>29000</v>
      </c>
      <c r="D151" s="79">
        <f t="shared" si="245"/>
        <v>32640</v>
      </c>
      <c r="E151" s="79">
        <f t="shared" si="245"/>
        <v>36240</v>
      </c>
      <c r="F151" s="79">
        <f t="shared" si="245"/>
        <v>39160</v>
      </c>
      <c r="G151" s="79">
        <f t="shared" si="245"/>
        <v>42040</v>
      </c>
      <c r="H151" s="79">
        <f t="shared" si="245"/>
        <v>44960</v>
      </c>
      <c r="I151" s="79">
        <f t="shared" si="245"/>
        <v>47840</v>
      </c>
      <c r="J151" s="80">
        <f t="shared" si="233"/>
        <v>635</v>
      </c>
      <c r="K151" s="80">
        <f t="shared" si="234"/>
        <v>680</v>
      </c>
      <c r="L151" s="80">
        <f t="shared" si="235"/>
        <v>816</v>
      </c>
      <c r="M151" s="80">
        <f t="shared" si="236"/>
        <v>942</v>
      </c>
      <c r="N151" s="80">
        <f t="shared" si="237"/>
        <v>1051</v>
      </c>
      <c r="O151" s="80">
        <f t="shared" si="238"/>
        <v>1160</v>
      </c>
      <c r="P151" s="81"/>
      <c r="Q151" s="81"/>
      <c r="R151" s="81"/>
      <c r="S151" s="81"/>
      <c r="T151" s="81"/>
      <c r="U151" s="81"/>
      <c r="V151" s="81"/>
      <c r="W151" s="81"/>
      <c r="X151" s="81"/>
      <c r="Y151" s="81"/>
      <c r="Z151" s="81"/>
      <c r="AA151" s="81"/>
      <c r="AB151" s="81"/>
      <c r="AC151" s="81"/>
      <c r="AD151" s="81"/>
      <c r="AE151" s="81"/>
      <c r="AF151" s="81"/>
    </row>
    <row r="152" spans="1:32">
      <c r="A152" s="76" t="s">
        <v>886</v>
      </c>
      <c r="B152" s="79">
        <f>B153*2*0.45</f>
        <v>28575</v>
      </c>
      <c r="C152" s="79">
        <f t="shared" ref="C152:I152" si="246">C153*2*0.45</f>
        <v>32625</v>
      </c>
      <c r="D152" s="79">
        <f t="shared" si="246"/>
        <v>36720</v>
      </c>
      <c r="E152" s="79">
        <f t="shared" si="246"/>
        <v>40770</v>
      </c>
      <c r="F152" s="79">
        <f t="shared" si="246"/>
        <v>44055</v>
      </c>
      <c r="G152" s="79">
        <f t="shared" si="246"/>
        <v>47295</v>
      </c>
      <c r="H152" s="79">
        <f t="shared" si="246"/>
        <v>50580</v>
      </c>
      <c r="I152" s="79">
        <f t="shared" si="246"/>
        <v>53820</v>
      </c>
      <c r="J152" s="80">
        <f t="shared" si="233"/>
        <v>714</v>
      </c>
      <c r="K152" s="80">
        <f t="shared" si="234"/>
        <v>765</v>
      </c>
      <c r="L152" s="80">
        <f t="shared" si="235"/>
        <v>918</v>
      </c>
      <c r="M152" s="80">
        <f t="shared" si="236"/>
        <v>1060</v>
      </c>
      <c r="N152" s="80">
        <f t="shared" si="237"/>
        <v>1182</v>
      </c>
      <c r="O152" s="80">
        <f t="shared" si="238"/>
        <v>1305</v>
      </c>
      <c r="P152" s="81"/>
      <c r="Q152" s="81"/>
      <c r="R152" s="81"/>
      <c r="S152" s="81"/>
      <c r="T152" s="81"/>
      <c r="U152" s="81"/>
      <c r="V152" s="81"/>
      <c r="W152" s="81"/>
      <c r="X152" s="81"/>
      <c r="Y152" s="81"/>
      <c r="Z152" s="81"/>
      <c r="AA152" s="81"/>
      <c r="AB152" s="81"/>
      <c r="AC152" s="81"/>
      <c r="AD152" s="81"/>
      <c r="AE152" s="81"/>
      <c r="AF152" s="81"/>
    </row>
    <row r="153" spans="1:32">
      <c r="A153" s="82" t="s">
        <v>887</v>
      </c>
      <c r="B153" s="84">
        <f>'MTSP 50% Income Limits '!B10</f>
        <v>31750</v>
      </c>
      <c r="C153" s="84">
        <f>'MTSP 50% Income Limits '!C10</f>
        <v>36250</v>
      </c>
      <c r="D153" s="84">
        <f>'MTSP 50% Income Limits '!D10</f>
        <v>40800</v>
      </c>
      <c r="E153" s="84">
        <f>'MTSP 50% Income Limits '!E10</f>
        <v>45300</v>
      </c>
      <c r="F153" s="84">
        <f>'MTSP 50% Income Limits '!F10</f>
        <v>48950</v>
      </c>
      <c r="G153" s="84">
        <f>'MTSP 50% Income Limits '!G10</f>
        <v>52550</v>
      </c>
      <c r="H153" s="84">
        <f>'MTSP 50% Income Limits '!H10</f>
        <v>56200</v>
      </c>
      <c r="I153" s="84">
        <f>'MTSP 50% Income Limits '!I10</f>
        <v>59800</v>
      </c>
      <c r="J153" s="83">
        <f>TRUNC(B153/12*0.3)</f>
        <v>793</v>
      </c>
      <c r="K153" s="83">
        <f>TRUNC((B153+C153)/2/12*0.3)</f>
        <v>850</v>
      </c>
      <c r="L153" s="83">
        <f>TRUNC((D153)/12*0.3)</f>
        <v>1020</v>
      </c>
      <c r="M153" s="83">
        <f>TRUNC(((E153+F153)/2)/12*0.3)</f>
        <v>1178</v>
      </c>
      <c r="N153" s="83">
        <f>TRUNC(G153/12*0.3)</f>
        <v>1313</v>
      </c>
      <c r="O153" s="83">
        <f>TRUNC(((H153+I153)/2)/12*0.3)</f>
        <v>1450</v>
      </c>
      <c r="P153" s="81"/>
      <c r="Q153" s="81"/>
      <c r="R153" s="81"/>
      <c r="S153" s="81"/>
      <c r="T153" s="81"/>
      <c r="U153" s="81"/>
      <c r="V153" s="81"/>
      <c r="W153" s="81"/>
      <c r="X153" s="81"/>
      <c r="Y153" s="81"/>
      <c r="Z153" s="81"/>
      <c r="AA153" s="81"/>
      <c r="AB153" s="81"/>
      <c r="AC153" s="81"/>
      <c r="AD153" s="81"/>
      <c r="AE153" s="81"/>
      <c r="AF153" s="81"/>
    </row>
    <row r="154" spans="1:32">
      <c r="A154" s="76" t="s">
        <v>888</v>
      </c>
      <c r="B154" s="79">
        <f>B153*2*0.55</f>
        <v>34925</v>
      </c>
      <c r="C154" s="79">
        <f t="shared" ref="C154:I154" si="247">C153*2*0.55</f>
        <v>39875</v>
      </c>
      <c r="D154" s="79">
        <f t="shared" si="247"/>
        <v>44880</v>
      </c>
      <c r="E154" s="79">
        <f t="shared" si="247"/>
        <v>49830.000000000007</v>
      </c>
      <c r="F154" s="79">
        <f t="shared" si="247"/>
        <v>53845.000000000007</v>
      </c>
      <c r="G154" s="79">
        <f t="shared" si="247"/>
        <v>57805.000000000007</v>
      </c>
      <c r="H154" s="79">
        <f t="shared" si="247"/>
        <v>61820.000000000007</v>
      </c>
      <c r="I154" s="79">
        <f t="shared" si="247"/>
        <v>65780</v>
      </c>
      <c r="J154" s="80">
        <f t="shared" ref="J154:J160" si="248">TRUNC(B154/12*0.3)</f>
        <v>873</v>
      </c>
      <c r="K154" s="80">
        <f t="shared" ref="K154:K160" si="249">TRUNC((B154+C154)/2/12*0.3)</f>
        <v>935</v>
      </c>
      <c r="L154" s="80">
        <f t="shared" ref="L154:L160" si="250">TRUNC((D154)/12*0.3)</f>
        <v>1122</v>
      </c>
      <c r="M154" s="80">
        <f t="shared" ref="M154:M160" si="251">TRUNC(((E154+F154)/2)/12*0.3)</f>
        <v>1295</v>
      </c>
      <c r="N154" s="80">
        <f t="shared" ref="N154:N160" si="252">TRUNC(G154/12*0.3)</f>
        <v>1445</v>
      </c>
      <c r="O154" s="80">
        <f t="shared" ref="O154:O160" si="253">TRUNC(((H154+I154)/2)/12*0.3)</f>
        <v>1595</v>
      </c>
      <c r="P154" s="81"/>
      <c r="Q154" s="81"/>
      <c r="R154" s="81"/>
      <c r="S154" s="81"/>
      <c r="T154" s="81"/>
      <c r="U154" s="81"/>
      <c r="V154" s="81"/>
      <c r="W154" s="81"/>
      <c r="X154" s="81"/>
      <c r="Y154" s="81"/>
      <c r="Z154" s="81"/>
      <c r="AA154" s="81"/>
      <c r="AB154" s="81"/>
      <c r="AC154" s="81"/>
      <c r="AD154" s="81"/>
      <c r="AE154" s="81"/>
      <c r="AF154" s="81"/>
    </row>
    <row r="155" spans="1:32">
      <c r="A155" s="76" t="s">
        <v>889</v>
      </c>
      <c r="B155" s="79">
        <f>B153*2*0.6</f>
        <v>38100</v>
      </c>
      <c r="C155" s="79">
        <f t="shared" ref="C155:I155" si="254">C153*2*0.6</f>
        <v>43500</v>
      </c>
      <c r="D155" s="79">
        <f t="shared" si="254"/>
        <v>48960</v>
      </c>
      <c r="E155" s="79">
        <f t="shared" si="254"/>
        <v>54360</v>
      </c>
      <c r="F155" s="79">
        <f t="shared" si="254"/>
        <v>58740</v>
      </c>
      <c r="G155" s="79">
        <f t="shared" si="254"/>
        <v>63060</v>
      </c>
      <c r="H155" s="79">
        <f t="shared" si="254"/>
        <v>67440</v>
      </c>
      <c r="I155" s="79">
        <f t="shared" si="254"/>
        <v>71760</v>
      </c>
      <c r="J155" s="80">
        <f t="shared" si="248"/>
        <v>952</v>
      </c>
      <c r="K155" s="80">
        <f t="shared" si="249"/>
        <v>1020</v>
      </c>
      <c r="L155" s="80">
        <f t="shared" si="250"/>
        <v>1224</v>
      </c>
      <c r="M155" s="80">
        <f t="shared" si="251"/>
        <v>1413</v>
      </c>
      <c r="N155" s="80">
        <f t="shared" si="252"/>
        <v>1576</v>
      </c>
      <c r="O155" s="80">
        <f t="shared" si="253"/>
        <v>1740</v>
      </c>
      <c r="P155" s="81"/>
      <c r="Q155" s="81"/>
      <c r="R155" s="81"/>
      <c r="S155" s="81"/>
      <c r="T155" s="81"/>
      <c r="U155" s="81"/>
      <c r="V155" s="81"/>
      <c r="W155" s="81"/>
      <c r="X155" s="81"/>
      <c r="Y155" s="81"/>
      <c r="Z155" s="81"/>
      <c r="AA155" s="81"/>
      <c r="AB155" s="81"/>
      <c r="AC155" s="81"/>
      <c r="AD155" s="81"/>
      <c r="AE155" s="81"/>
      <c r="AF155" s="81"/>
    </row>
    <row r="156" spans="1:32">
      <c r="A156" s="76" t="s">
        <v>890</v>
      </c>
      <c r="B156" s="79">
        <f>B153*2*0.65</f>
        <v>41275</v>
      </c>
      <c r="C156" s="79">
        <f t="shared" ref="C156:I156" si="255">C153*2*0.65</f>
        <v>47125</v>
      </c>
      <c r="D156" s="79">
        <f t="shared" si="255"/>
        <v>53040</v>
      </c>
      <c r="E156" s="79">
        <f t="shared" si="255"/>
        <v>58890</v>
      </c>
      <c r="F156" s="79">
        <f t="shared" si="255"/>
        <v>63635</v>
      </c>
      <c r="G156" s="79">
        <f t="shared" si="255"/>
        <v>68315</v>
      </c>
      <c r="H156" s="79">
        <f t="shared" si="255"/>
        <v>73060</v>
      </c>
      <c r="I156" s="79">
        <f t="shared" si="255"/>
        <v>77740</v>
      </c>
      <c r="J156" s="80">
        <f t="shared" si="248"/>
        <v>1031</v>
      </c>
      <c r="K156" s="80">
        <f t="shared" si="249"/>
        <v>1105</v>
      </c>
      <c r="L156" s="80">
        <f t="shared" si="250"/>
        <v>1326</v>
      </c>
      <c r="M156" s="80">
        <f t="shared" si="251"/>
        <v>1531</v>
      </c>
      <c r="N156" s="80">
        <f t="shared" si="252"/>
        <v>1707</v>
      </c>
      <c r="O156" s="80">
        <f t="shared" si="253"/>
        <v>1885</v>
      </c>
      <c r="P156" s="81"/>
      <c r="Q156" s="81"/>
      <c r="R156" s="81"/>
      <c r="S156" s="81"/>
      <c r="T156" s="81"/>
      <c r="U156" s="81"/>
      <c r="V156" s="81"/>
      <c r="W156" s="81"/>
      <c r="X156" s="81"/>
      <c r="Y156" s="81"/>
      <c r="Z156" s="81"/>
      <c r="AA156" s="81"/>
      <c r="AB156" s="81"/>
      <c r="AC156" s="81"/>
      <c r="AD156" s="81"/>
      <c r="AE156" s="81"/>
      <c r="AF156" s="81"/>
    </row>
    <row r="157" spans="1:32">
      <c r="A157" s="76" t="s">
        <v>891</v>
      </c>
      <c r="B157" s="79">
        <f>B153*2*0.7</f>
        <v>44450</v>
      </c>
      <c r="C157" s="79">
        <f t="shared" ref="C157:I157" si="256">C153*2*0.7</f>
        <v>50750</v>
      </c>
      <c r="D157" s="79">
        <f t="shared" si="256"/>
        <v>57120</v>
      </c>
      <c r="E157" s="79">
        <f t="shared" si="256"/>
        <v>63419.999999999993</v>
      </c>
      <c r="F157" s="79">
        <f t="shared" si="256"/>
        <v>68530</v>
      </c>
      <c r="G157" s="79">
        <f t="shared" si="256"/>
        <v>73570</v>
      </c>
      <c r="H157" s="79">
        <f t="shared" si="256"/>
        <v>78680</v>
      </c>
      <c r="I157" s="79">
        <f t="shared" si="256"/>
        <v>83720</v>
      </c>
      <c r="J157" s="80">
        <f t="shared" si="248"/>
        <v>1111</v>
      </c>
      <c r="K157" s="80">
        <f t="shared" si="249"/>
        <v>1190</v>
      </c>
      <c r="L157" s="80">
        <f t="shared" si="250"/>
        <v>1428</v>
      </c>
      <c r="M157" s="80">
        <f t="shared" si="251"/>
        <v>1649</v>
      </c>
      <c r="N157" s="80">
        <f t="shared" si="252"/>
        <v>1839</v>
      </c>
      <c r="O157" s="80">
        <f t="shared" si="253"/>
        <v>2030</v>
      </c>
      <c r="P157" s="81"/>
      <c r="Q157" s="81"/>
      <c r="R157" s="81"/>
      <c r="S157" s="81"/>
      <c r="T157" s="81"/>
      <c r="U157" s="81"/>
      <c r="V157" s="81"/>
      <c r="W157" s="81"/>
      <c r="X157" s="81"/>
      <c r="Y157" s="81"/>
      <c r="Z157" s="81"/>
      <c r="AA157" s="81"/>
      <c r="AB157" s="81"/>
      <c r="AC157" s="81"/>
      <c r="AD157" s="81"/>
      <c r="AE157" s="81"/>
      <c r="AF157" s="81"/>
    </row>
    <row r="158" spans="1:32">
      <c r="A158" s="76" t="s">
        <v>892</v>
      </c>
      <c r="B158" s="79">
        <f>B153*2*0.75</f>
        <v>47625</v>
      </c>
      <c r="C158" s="79">
        <f t="shared" ref="C158:I158" si="257">C153*2*0.75</f>
        <v>54375</v>
      </c>
      <c r="D158" s="79">
        <f t="shared" si="257"/>
        <v>61200</v>
      </c>
      <c r="E158" s="79">
        <f t="shared" si="257"/>
        <v>67950</v>
      </c>
      <c r="F158" s="79">
        <f t="shared" si="257"/>
        <v>73425</v>
      </c>
      <c r="G158" s="79">
        <f t="shared" si="257"/>
        <v>78825</v>
      </c>
      <c r="H158" s="79">
        <f t="shared" si="257"/>
        <v>84300</v>
      </c>
      <c r="I158" s="79">
        <f t="shared" si="257"/>
        <v>89700</v>
      </c>
      <c r="J158" s="80">
        <f t="shared" si="248"/>
        <v>1190</v>
      </c>
      <c r="K158" s="80">
        <f t="shared" si="249"/>
        <v>1275</v>
      </c>
      <c r="L158" s="80">
        <f t="shared" si="250"/>
        <v>1530</v>
      </c>
      <c r="M158" s="80">
        <f t="shared" si="251"/>
        <v>1767</v>
      </c>
      <c r="N158" s="80">
        <f t="shared" si="252"/>
        <v>1970</v>
      </c>
      <c r="O158" s="80">
        <f t="shared" si="253"/>
        <v>2175</v>
      </c>
      <c r="P158" s="81"/>
      <c r="Q158" s="81"/>
      <c r="R158" s="81"/>
      <c r="S158" s="81"/>
      <c r="T158" s="81"/>
      <c r="U158" s="81"/>
      <c r="V158" s="81"/>
      <c r="W158" s="81"/>
      <c r="X158" s="81"/>
      <c r="Y158" s="81"/>
      <c r="Z158" s="81"/>
      <c r="AA158" s="81"/>
      <c r="AB158" s="81"/>
      <c r="AC158" s="81"/>
      <c r="AD158" s="81"/>
      <c r="AE158" s="81"/>
      <c r="AF158" s="81"/>
    </row>
    <row r="159" spans="1:32">
      <c r="A159" s="76" t="s">
        <v>893</v>
      </c>
      <c r="B159" s="79">
        <f>B153*2*0.8</f>
        <v>50800</v>
      </c>
      <c r="C159" s="79">
        <f t="shared" ref="C159:I159" si="258">C153*2*0.8</f>
        <v>58000</v>
      </c>
      <c r="D159" s="79">
        <f t="shared" si="258"/>
        <v>65280</v>
      </c>
      <c r="E159" s="79">
        <f t="shared" si="258"/>
        <v>72480</v>
      </c>
      <c r="F159" s="79">
        <f t="shared" si="258"/>
        <v>78320</v>
      </c>
      <c r="G159" s="79">
        <f t="shared" si="258"/>
        <v>84080</v>
      </c>
      <c r="H159" s="79">
        <f t="shared" si="258"/>
        <v>89920</v>
      </c>
      <c r="I159" s="79">
        <f t="shared" si="258"/>
        <v>95680</v>
      </c>
      <c r="J159" s="80">
        <f t="shared" si="248"/>
        <v>1270</v>
      </c>
      <c r="K159" s="80">
        <f t="shared" si="249"/>
        <v>1360</v>
      </c>
      <c r="L159" s="80">
        <f t="shared" si="250"/>
        <v>1632</v>
      </c>
      <c r="M159" s="80">
        <f t="shared" si="251"/>
        <v>1885</v>
      </c>
      <c r="N159" s="80">
        <f t="shared" si="252"/>
        <v>2102</v>
      </c>
      <c r="O159" s="80">
        <f t="shared" si="253"/>
        <v>2320</v>
      </c>
      <c r="P159" s="81"/>
      <c r="Q159" s="81"/>
      <c r="R159" s="81"/>
      <c r="S159" s="81"/>
      <c r="T159" s="81"/>
      <c r="U159" s="81"/>
      <c r="V159" s="81"/>
      <c r="W159" s="81"/>
      <c r="X159" s="81"/>
      <c r="Y159" s="81"/>
      <c r="Z159" s="81"/>
      <c r="AA159" s="81"/>
      <c r="AB159" s="81"/>
      <c r="AC159" s="81"/>
      <c r="AD159" s="81"/>
      <c r="AE159" s="81"/>
      <c r="AF159" s="81"/>
    </row>
    <row r="160" spans="1:32">
      <c r="A160" s="76" t="s">
        <v>894</v>
      </c>
      <c r="B160" s="79">
        <f>B153*2*0.9</f>
        <v>57150</v>
      </c>
      <c r="C160" s="79">
        <f t="shared" ref="C160:I160" si="259">C153*2*0.9</f>
        <v>65250</v>
      </c>
      <c r="D160" s="79">
        <f t="shared" si="259"/>
        <v>73440</v>
      </c>
      <c r="E160" s="79">
        <f t="shared" si="259"/>
        <v>81540</v>
      </c>
      <c r="F160" s="79">
        <f t="shared" si="259"/>
        <v>88110</v>
      </c>
      <c r="G160" s="79">
        <f t="shared" si="259"/>
        <v>94590</v>
      </c>
      <c r="H160" s="79">
        <f t="shared" si="259"/>
        <v>101160</v>
      </c>
      <c r="I160" s="79">
        <f t="shared" si="259"/>
        <v>107640</v>
      </c>
      <c r="J160" s="80">
        <f t="shared" si="248"/>
        <v>1428</v>
      </c>
      <c r="K160" s="80">
        <f t="shared" si="249"/>
        <v>1530</v>
      </c>
      <c r="L160" s="80">
        <f t="shared" si="250"/>
        <v>1836</v>
      </c>
      <c r="M160" s="80">
        <f t="shared" si="251"/>
        <v>2120</v>
      </c>
      <c r="N160" s="80">
        <f t="shared" si="252"/>
        <v>2364</v>
      </c>
      <c r="O160" s="80">
        <f t="shared" si="253"/>
        <v>2610</v>
      </c>
      <c r="P160" s="81"/>
      <c r="Q160" s="81"/>
      <c r="R160" s="81"/>
      <c r="S160" s="81"/>
      <c r="T160" s="81"/>
      <c r="U160" s="81"/>
      <c r="V160" s="81"/>
      <c r="W160" s="81"/>
      <c r="X160" s="81"/>
      <c r="Y160" s="81"/>
      <c r="Z160" s="81"/>
      <c r="AA160" s="81"/>
      <c r="AB160" s="81"/>
      <c r="AC160" s="81"/>
      <c r="AD160" s="81"/>
      <c r="AE160" s="81"/>
      <c r="AF160" s="81"/>
    </row>
    <row r="161" spans="1:32">
      <c r="A161" s="76" t="s">
        <v>895</v>
      </c>
      <c r="B161" s="79">
        <f>B153*2</f>
        <v>63500</v>
      </c>
      <c r="C161" s="79">
        <f t="shared" ref="C161:I161" si="260">C153*2</f>
        <v>72500</v>
      </c>
      <c r="D161" s="79">
        <f t="shared" si="260"/>
        <v>81600</v>
      </c>
      <c r="E161" s="79">
        <f t="shared" si="260"/>
        <v>90600</v>
      </c>
      <c r="F161" s="79">
        <f t="shared" si="260"/>
        <v>97900</v>
      </c>
      <c r="G161" s="79">
        <f t="shared" si="260"/>
        <v>105100</v>
      </c>
      <c r="H161" s="79">
        <f t="shared" si="260"/>
        <v>112400</v>
      </c>
      <c r="I161" s="79">
        <f t="shared" si="260"/>
        <v>119600</v>
      </c>
      <c r="J161" s="80">
        <f>J153*2</f>
        <v>1586</v>
      </c>
      <c r="K161" s="80">
        <f t="shared" ref="K161:O161" si="261">K153*2</f>
        <v>1700</v>
      </c>
      <c r="L161" s="80">
        <f t="shared" si="261"/>
        <v>2040</v>
      </c>
      <c r="M161" s="80">
        <f t="shared" si="261"/>
        <v>2356</v>
      </c>
      <c r="N161" s="80">
        <f t="shared" si="261"/>
        <v>2626</v>
      </c>
      <c r="O161" s="80">
        <f t="shared" si="261"/>
        <v>2900</v>
      </c>
      <c r="P161" s="81"/>
      <c r="Q161" s="81"/>
      <c r="R161" s="81"/>
      <c r="S161" s="81"/>
      <c r="T161" s="81"/>
      <c r="U161" s="81"/>
      <c r="V161" s="81"/>
      <c r="W161" s="81"/>
      <c r="X161" s="81"/>
      <c r="Y161" s="81"/>
      <c r="Z161" s="81"/>
      <c r="AA161" s="81"/>
      <c r="AB161" s="81"/>
      <c r="AC161" s="81"/>
      <c r="AD161" s="81"/>
      <c r="AE161" s="81"/>
      <c r="AF161" s="81"/>
    </row>
    <row r="162" spans="1:32">
      <c r="A162" s="76" t="s">
        <v>896</v>
      </c>
      <c r="B162" s="79">
        <f>B153*2*1.1</f>
        <v>69850</v>
      </c>
      <c r="C162" s="79">
        <f t="shared" ref="C162:I162" si="262">C153*2*1.1</f>
        <v>79750</v>
      </c>
      <c r="D162" s="79">
        <f t="shared" si="262"/>
        <v>89760</v>
      </c>
      <c r="E162" s="79">
        <f t="shared" si="262"/>
        <v>99660.000000000015</v>
      </c>
      <c r="F162" s="79">
        <f t="shared" si="262"/>
        <v>107690.00000000001</v>
      </c>
      <c r="G162" s="79">
        <f t="shared" si="262"/>
        <v>115610.00000000001</v>
      </c>
      <c r="H162" s="79">
        <f t="shared" si="262"/>
        <v>123640.00000000001</v>
      </c>
      <c r="I162" s="79">
        <f t="shared" si="262"/>
        <v>131560</v>
      </c>
      <c r="J162" s="80">
        <f t="shared" ref="J162:J170" si="263">TRUNC(B162/12*0.3)</f>
        <v>1746</v>
      </c>
      <c r="K162" s="80">
        <f t="shared" ref="K162:K170" si="264">TRUNC((B162+C162)/2/12*0.3)</f>
        <v>1870</v>
      </c>
      <c r="L162" s="80">
        <f t="shared" ref="L162:L170" si="265">TRUNC((D162)/12*0.3)</f>
        <v>2244</v>
      </c>
      <c r="M162" s="80">
        <f t="shared" ref="M162:M170" si="266">TRUNC(((E162+F162)/2)/12*0.3)</f>
        <v>2591</v>
      </c>
      <c r="N162" s="80">
        <f t="shared" ref="N162:N170" si="267">TRUNC(G162/12*0.3)</f>
        <v>2890</v>
      </c>
      <c r="O162" s="80">
        <f t="shared" ref="O162:O170" si="268">TRUNC(((H162+I162)/2)/12*0.3)</f>
        <v>3190</v>
      </c>
      <c r="P162" s="81"/>
      <c r="Q162" s="81"/>
      <c r="R162" s="81"/>
      <c r="S162" s="81"/>
      <c r="T162" s="81"/>
      <c r="U162" s="81"/>
      <c r="V162" s="81"/>
      <c r="W162" s="81"/>
      <c r="X162" s="81"/>
      <c r="Y162" s="81"/>
      <c r="Z162" s="81"/>
      <c r="AA162" s="81"/>
      <c r="AB162" s="81"/>
      <c r="AC162" s="81"/>
      <c r="AD162" s="81"/>
      <c r="AE162" s="81"/>
      <c r="AF162" s="81"/>
    </row>
    <row r="163" spans="1:32">
      <c r="A163" s="76" t="s">
        <v>897</v>
      </c>
      <c r="B163" s="79">
        <f>B153*2*1.2</f>
        <v>76200</v>
      </c>
      <c r="C163" s="79">
        <f t="shared" ref="C163:I163" si="269">C153*2*1.2</f>
        <v>87000</v>
      </c>
      <c r="D163" s="79">
        <f t="shared" si="269"/>
        <v>97920</v>
      </c>
      <c r="E163" s="79">
        <f t="shared" si="269"/>
        <v>108720</v>
      </c>
      <c r="F163" s="79">
        <f t="shared" si="269"/>
        <v>117480</v>
      </c>
      <c r="G163" s="79">
        <f t="shared" si="269"/>
        <v>126120</v>
      </c>
      <c r="H163" s="79">
        <f t="shared" si="269"/>
        <v>134880</v>
      </c>
      <c r="I163" s="79">
        <f t="shared" si="269"/>
        <v>143520</v>
      </c>
      <c r="J163" s="80">
        <f t="shared" si="263"/>
        <v>1905</v>
      </c>
      <c r="K163" s="80">
        <f t="shared" si="264"/>
        <v>2040</v>
      </c>
      <c r="L163" s="80">
        <f t="shared" si="265"/>
        <v>2448</v>
      </c>
      <c r="M163" s="80">
        <f t="shared" si="266"/>
        <v>2827</v>
      </c>
      <c r="N163" s="80">
        <f t="shared" si="267"/>
        <v>3153</v>
      </c>
      <c r="O163" s="80">
        <f t="shared" si="268"/>
        <v>3480</v>
      </c>
      <c r="P163" s="81"/>
      <c r="Q163" s="81"/>
      <c r="R163" s="81"/>
      <c r="S163" s="81"/>
      <c r="T163" s="81"/>
      <c r="U163" s="81"/>
      <c r="V163" s="81"/>
      <c r="W163" s="81"/>
      <c r="X163" s="81"/>
      <c r="Y163" s="81"/>
      <c r="Z163" s="81"/>
      <c r="AA163" s="81"/>
      <c r="AB163" s="81"/>
      <c r="AC163" s="81"/>
      <c r="AD163" s="81"/>
      <c r="AE163" s="81"/>
      <c r="AF163" s="81"/>
    </row>
    <row r="164" spans="1:32">
      <c r="A164" s="76" t="s">
        <v>898</v>
      </c>
      <c r="B164" s="79">
        <f>B171*2*0.15</f>
        <v>7320</v>
      </c>
      <c r="C164" s="79">
        <f>C171*2*0.15</f>
        <v>8370</v>
      </c>
      <c r="D164" s="79">
        <f>D171*2*0.15</f>
        <v>9420</v>
      </c>
      <c r="E164" s="79">
        <f>E171*2*0.15</f>
        <v>10455</v>
      </c>
      <c r="F164" s="79">
        <f>F171*2*0.15</f>
        <v>11295</v>
      </c>
      <c r="G164" s="79">
        <f t="shared" ref="G164:I164" si="270">G171*2*0.15</f>
        <v>12135</v>
      </c>
      <c r="H164" s="79">
        <f t="shared" si="270"/>
        <v>12975</v>
      </c>
      <c r="I164" s="79">
        <f t="shared" si="270"/>
        <v>13815</v>
      </c>
      <c r="J164" s="80">
        <f t="shared" si="263"/>
        <v>183</v>
      </c>
      <c r="K164" s="80">
        <f t="shared" si="264"/>
        <v>196</v>
      </c>
      <c r="L164" s="80">
        <f t="shared" si="265"/>
        <v>235</v>
      </c>
      <c r="M164" s="80">
        <f t="shared" si="266"/>
        <v>271</v>
      </c>
      <c r="N164" s="80">
        <f t="shared" si="267"/>
        <v>303</v>
      </c>
      <c r="O164" s="80">
        <f t="shared" si="268"/>
        <v>334</v>
      </c>
      <c r="P164" s="81"/>
      <c r="Q164" s="81"/>
      <c r="R164" s="81"/>
      <c r="S164" s="81"/>
      <c r="T164" s="81"/>
      <c r="U164" s="81"/>
      <c r="V164" s="81"/>
      <c r="W164" s="81"/>
      <c r="X164" s="81"/>
      <c r="Y164" s="81"/>
      <c r="Z164" s="81"/>
      <c r="AA164" s="81"/>
      <c r="AB164" s="81"/>
      <c r="AC164" s="81"/>
      <c r="AD164" s="81"/>
      <c r="AE164" s="81"/>
      <c r="AF164" s="81"/>
    </row>
    <row r="165" spans="1:32">
      <c r="A165" s="76" t="s">
        <v>899</v>
      </c>
      <c r="B165" s="79">
        <f>B171*2*0.2</f>
        <v>9760</v>
      </c>
      <c r="C165" s="79">
        <f t="shared" ref="C165:I165" si="271">C171*2*0.2</f>
        <v>11160</v>
      </c>
      <c r="D165" s="79">
        <f t="shared" si="271"/>
        <v>12560</v>
      </c>
      <c r="E165" s="79">
        <f t="shared" si="271"/>
        <v>13940</v>
      </c>
      <c r="F165" s="79">
        <f t="shared" si="271"/>
        <v>15060</v>
      </c>
      <c r="G165" s="79">
        <f t="shared" si="271"/>
        <v>16180</v>
      </c>
      <c r="H165" s="79">
        <f t="shared" si="271"/>
        <v>17300</v>
      </c>
      <c r="I165" s="79">
        <f t="shared" si="271"/>
        <v>18420</v>
      </c>
      <c r="J165" s="80">
        <f t="shared" si="263"/>
        <v>244</v>
      </c>
      <c r="K165" s="80">
        <f t="shared" si="264"/>
        <v>261</v>
      </c>
      <c r="L165" s="80">
        <f t="shared" si="265"/>
        <v>314</v>
      </c>
      <c r="M165" s="80">
        <f t="shared" si="266"/>
        <v>362</v>
      </c>
      <c r="N165" s="80">
        <f t="shared" si="267"/>
        <v>404</v>
      </c>
      <c r="O165" s="80">
        <f t="shared" si="268"/>
        <v>446</v>
      </c>
      <c r="P165" s="81"/>
      <c r="Q165" s="81"/>
      <c r="R165" s="81"/>
      <c r="S165" s="81"/>
      <c r="T165" s="81"/>
      <c r="U165" s="81"/>
      <c r="V165" s="81"/>
      <c r="W165" s="81"/>
      <c r="X165" s="81"/>
      <c r="Y165" s="81"/>
      <c r="Z165" s="81"/>
      <c r="AA165" s="81"/>
      <c r="AB165" s="81"/>
      <c r="AC165" s="81"/>
      <c r="AD165" s="81"/>
      <c r="AE165" s="81"/>
      <c r="AF165" s="81"/>
    </row>
    <row r="166" spans="1:32">
      <c r="A166" s="76" t="s">
        <v>900</v>
      </c>
      <c r="B166" s="79">
        <f>B171*2*0.25</f>
        <v>12200</v>
      </c>
      <c r="C166" s="79">
        <f t="shared" ref="C166:I166" si="272">C171*2*0.25</f>
        <v>13950</v>
      </c>
      <c r="D166" s="79">
        <f t="shared" si="272"/>
        <v>15700</v>
      </c>
      <c r="E166" s="79">
        <f t="shared" si="272"/>
        <v>17425</v>
      </c>
      <c r="F166" s="79">
        <f t="shared" si="272"/>
        <v>18825</v>
      </c>
      <c r="G166" s="79">
        <f t="shared" si="272"/>
        <v>20225</v>
      </c>
      <c r="H166" s="79">
        <f t="shared" si="272"/>
        <v>21625</v>
      </c>
      <c r="I166" s="79">
        <f t="shared" si="272"/>
        <v>23025</v>
      </c>
      <c r="J166" s="80">
        <f t="shared" si="263"/>
        <v>305</v>
      </c>
      <c r="K166" s="80">
        <f t="shared" si="264"/>
        <v>326</v>
      </c>
      <c r="L166" s="80">
        <f t="shared" si="265"/>
        <v>392</v>
      </c>
      <c r="M166" s="80">
        <f t="shared" si="266"/>
        <v>453</v>
      </c>
      <c r="N166" s="80">
        <f t="shared" si="267"/>
        <v>505</v>
      </c>
      <c r="O166" s="80">
        <f t="shared" si="268"/>
        <v>558</v>
      </c>
      <c r="P166" s="81"/>
      <c r="Q166" s="81"/>
      <c r="R166" s="81"/>
      <c r="S166" s="81"/>
      <c r="T166" s="81"/>
      <c r="U166" s="81"/>
      <c r="V166" s="81"/>
      <c r="W166" s="81"/>
      <c r="X166" s="81"/>
      <c r="Y166" s="81"/>
      <c r="Z166" s="81"/>
      <c r="AA166" s="81"/>
      <c r="AB166" s="81"/>
      <c r="AC166" s="81"/>
      <c r="AD166" s="81"/>
      <c r="AE166" s="81"/>
      <c r="AF166" s="81"/>
    </row>
    <row r="167" spans="1:32">
      <c r="A167" s="76" t="s">
        <v>901</v>
      </c>
      <c r="B167" s="79">
        <f>B171*2*0.3</f>
        <v>14640</v>
      </c>
      <c r="C167" s="79">
        <f t="shared" ref="C167:I167" si="273">C171*2*0.3</f>
        <v>16740</v>
      </c>
      <c r="D167" s="79">
        <f t="shared" si="273"/>
        <v>18840</v>
      </c>
      <c r="E167" s="79">
        <f t="shared" si="273"/>
        <v>20910</v>
      </c>
      <c r="F167" s="79">
        <f t="shared" si="273"/>
        <v>22590</v>
      </c>
      <c r="G167" s="79">
        <f t="shared" si="273"/>
        <v>24270</v>
      </c>
      <c r="H167" s="79">
        <f t="shared" si="273"/>
        <v>25950</v>
      </c>
      <c r="I167" s="79">
        <f t="shared" si="273"/>
        <v>27630</v>
      </c>
      <c r="J167" s="80">
        <f t="shared" si="263"/>
        <v>366</v>
      </c>
      <c r="K167" s="80">
        <f t="shared" si="264"/>
        <v>392</v>
      </c>
      <c r="L167" s="80">
        <f t="shared" si="265"/>
        <v>471</v>
      </c>
      <c r="M167" s="80">
        <f t="shared" si="266"/>
        <v>543</v>
      </c>
      <c r="N167" s="80">
        <f t="shared" si="267"/>
        <v>606</v>
      </c>
      <c r="O167" s="80">
        <f t="shared" si="268"/>
        <v>669</v>
      </c>
      <c r="P167" s="81"/>
      <c r="Q167" s="81"/>
      <c r="R167" s="81"/>
      <c r="S167" s="81"/>
      <c r="T167" s="81"/>
      <c r="U167" s="81"/>
      <c r="V167" s="81"/>
      <c r="W167" s="81"/>
      <c r="X167" s="81"/>
      <c r="Y167" s="81"/>
      <c r="Z167" s="81"/>
      <c r="AA167" s="81"/>
      <c r="AB167" s="81"/>
      <c r="AC167" s="81"/>
      <c r="AD167" s="81"/>
      <c r="AE167" s="81"/>
      <c r="AF167" s="81"/>
    </row>
    <row r="168" spans="1:32">
      <c r="A168" s="76" t="s">
        <v>902</v>
      </c>
      <c r="B168" s="79">
        <f>B171*2*0.35</f>
        <v>17080</v>
      </c>
      <c r="C168" s="79">
        <f t="shared" ref="C168:I168" si="274">C171*2*0.35</f>
        <v>19530</v>
      </c>
      <c r="D168" s="79">
        <f t="shared" si="274"/>
        <v>21980</v>
      </c>
      <c r="E168" s="79">
        <f t="shared" si="274"/>
        <v>24395</v>
      </c>
      <c r="F168" s="79">
        <f t="shared" si="274"/>
        <v>26355</v>
      </c>
      <c r="G168" s="79">
        <f t="shared" si="274"/>
        <v>28315</v>
      </c>
      <c r="H168" s="79">
        <f t="shared" si="274"/>
        <v>30274.999999999996</v>
      </c>
      <c r="I168" s="79">
        <f t="shared" si="274"/>
        <v>32234.999999999996</v>
      </c>
      <c r="J168" s="80">
        <f t="shared" si="263"/>
        <v>427</v>
      </c>
      <c r="K168" s="80">
        <f t="shared" si="264"/>
        <v>457</v>
      </c>
      <c r="L168" s="80">
        <f t="shared" si="265"/>
        <v>549</v>
      </c>
      <c r="M168" s="80">
        <f t="shared" si="266"/>
        <v>634</v>
      </c>
      <c r="N168" s="80">
        <f t="shared" si="267"/>
        <v>707</v>
      </c>
      <c r="O168" s="80">
        <f t="shared" si="268"/>
        <v>781</v>
      </c>
      <c r="P168" s="81"/>
      <c r="Q168" s="81"/>
      <c r="R168" s="81"/>
      <c r="S168" s="81"/>
      <c r="T168" s="81"/>
      <c r="U168" s="81"/>
      <c r="V168" s="81"/>
      <c r="W168" s="81"/>
      <c r="X168" s="81"/>
      <c r="Y168" s="81"/>
      <c r="Z168" s="81"/>
      <c r="AA168" s="81"/>
      <c r="AB168" s="81"/>
      <c r="AC168" s="81"/>
      <c r="AD168" s="81"/>
      <c r="AE168" s="81"/>
      <c r="AF168" s="81"/>
    </row>
    <row r="169" spans="1:32">
      <c r="A169" s="76" t="s">
        <v>903</v>
      </c>
      <c r="B169" s="79">
        <f>B171*2*0.4</f>
        <v>19520</v>
      </c>
      <c r="C169" s="79">
        <f t="shared" ref="C169:I169" si="275">C171*2*0.4</f>
        <v>22320</v>
      </c>
      <c r="D169" s="79">
        <f t="shared" si="275"/>
        <v>25120</v>
      </c>
      <c r="E169" s="79">
        <f t="shared" si="275"/>
        <v>27880</v>
      </c>
      <c r="F169" s="79">
        <f t="shared" si="275"/>
        <v>30120</v>
      </c>
      <c r="G169" s="79">
        <f t="shared" si="275"/>
        <v>32360</v>
      </c>
      <c r="H169" s="79">
        <f t="shared" si="275"/>
        <v>34600</v>
      </c>
      <c r="I169" s="79">
        <f t="shared" si="275"/>
        <v>36840</v>
      </c>
      <c r="J169" s="80">
        <f t="shared" si="263"/>
        <v>488</v>
      </c>
      <c r="K169" s="80">
        <f t="shared" si="264"/>
        <v>523</v>
      </c>
      <c r="L169" s="80">
        <f t="shared" si="265"/>
        <v>628</v>
      </c>
      <c r="M169" s="80">
        <f t="shared" si="266"/>
        <v>725</v>
      </c>
      <c r="N169" s="80">
        <f t="shared" si="267"/>
        <v>809</v>
      </c>
      <c r="O169" s="80">
        <f t="shared" si="268"/>
        <v>893</v>
      </c>
      <c r="P169" s="81"/>
      <c r="Q169" s="81"/>
      <c r="R169" s="81"/>
      <c r="S169" s="81"/>
      <c r="T169" s="81"/>
      <c r="U169" s="81"/>
      <c r="V169" s="81"/>
      <c r="W169" s="81"/>
      <c r="X169" s="81"/>
      <c r="Y169" s="81"/>
      <c r="Z169" s="81"/>
      <c r="AA169" s="81"/>
      <c r="AB169" s="81"/>
      <c r="AC169" s="81"/>
      <c r="AD169" s="81"/>
      <c r="AE169" s="81"/>
      <c r="AF169" s="81"/>
    </row>
    <row r="170" spans="1:32">
      <c r="A170" s="76" t="s">
        <v>904</v>
      </c>
      <c r="B170" s="79">
        <f>B171*2*0.45</f>
        <v>21960</v>
      </c>
      <c r="C170" s="79">
        <f t="shared" ref="C170:I170" si="276">C171*2*0.45</f>
        <v>25110</v>
      </c>
      <c r="D170" s="79">
        <f t="shared" si="276"/>
        <v>28260</v>
      </c>
      <c r="E170" s="79">
        <f t="shared" si="276"/>
        <v>31365</v>
      </c>
      <c r="F170" s="79">
        <f t="shared" si="276"/>
        <v>33885</v>
      </c>
      <c r="G170" s="79">
        <f t="shared" si="276"/>
        <v>36405</v>
      </c>
      <c r="H170" s="79">
        <f t="shared" si="276"/>
        <v>38925</v>
      </c>
      <c r="I170" s="79">
        <f t="shared" si="276"/>
        <v>41445</v>
      </c>
      <c r="J170" s="80">
        <f t="shared" si="263"/>
        <v>549</v>
      </c>
      <c r="K170" s="80">
        <f t="shared" si="264"/>
        <v>588</v>
      </c>
      <c r="L170" s="80">
        <f t="shared" si="265"/>
        <v>706</v>
      </c>
      <c r="M170" s="80">
        <f t="shared" si="266"/>
        <v>815</v>
      </c>
      <c r="N170" s="80">
        <f t="shared" si="267"/>
        <v>910</v>
      </c>
      <c r="O170" s="80">
        <f t="shared" si="268"/>
        <v>1004</v>
      </c>
      <c r="P170" s="81"/>
      <c r="Q170" s="81"/>
      <c r="R170" s="81"/>
      <c r="S170" s="81"/>
      <c r="T170" s="81"/>
      <c r="U170" s="81"/>
      <c r="V170" s="81"/>
      <c r="W170" s="81"/>
      <c r="X170" s="81"/>
      <c r="Y170" s="81"/>
      <c r="Z170" s="81"/>
      <c r="AA170" s="81"/>
      <c r="AB170" s="81"/>
      <c r="AC170" s="81"/>
      <c r="AD170" s="81"/>
      <c r="AE170" s="81"/>
      <c r="AF170" s="81"/>
    </row>
    <row r="171" spans="1:32">
      <c r="A171" s="82" t="s">
        <v>905</v>
      </c>
      <c r="B171" s="84">
        <f>'MTSP 50% Income Limits '!B11</f>
        <v>24400</v>
      </c>
      <c r="C171" s="84">
        <f>'MTSP 50% Income Limits '!C11</f>
        <v>27900</v>
      </c>
      <c r="D171" s="84">
        <f>'MTSP 50% Income Limits '!D11</f>
        <v>31400</v>
      </c>
      <c r="E171" s="84">
        <f>'MTSP 50% Income Limits '!E11</f>
        <v>34850</v>
      </c>
      <c r="F171" s="84">
        <f>'MTSP 50% Income Limits '!F11</f>
        <v>37650</v>
      </c>
      <c r="G171" s="84">
        <f>'MTSP 50% Income Limits '!G11</f>
        <v>40450</v>
      </c>
      <c r="H171" s="84">
        <f>'MTSP 50% Income Limits '!H11</f>
        <v>43250</v>
      </c>
      <c r="I171" s="84">
        <f>'MTSP 50% Income Limits '!I11</f>
        <v>46050</v>
      </c>
      <c r="J171" s="83">
        <f>TRUNC(B171/12*0.3)</f>
        <v>610</v>
      </c>
      <c r="K171" s="83">
        <f>TRUNC((B171+C171)/2/12*0.3)</f>
        <v>653</v>
      </c>
      <c r="L171" s="83">
        <f>TRUNC((D171)/12*0.3)</f>
        <v>785</v>
      </c>
      <c r="M171" s="83">
        <f>TRUNC(((E171+F171)/2)/12*0.3)</f>
        <v>906</v>
      </c>
      <c r="N171" s="83">
        <f>TRUNC(G171/12*0.3)</f>
        <v>1011</v>
      </c>
      <c r="O171" s="83">
        <f>TRUNC(((H171+I171)/2)/12*0.3)</f>
        <v>1116</v>
      </c>
      <c r="P171" s="81"/>
      <c r="Q171" s="81"/>
      <c r="R171" s="81"/>
      <c r="S171" s="81"/>
      <c r="T171" s="81"/>
      <c r="U171" s="81"/>
      <c r="V171" s="81"/>
      <c r="W171" s="81"/>
      <c r="X171" s="81"/>
      <c r="Y171" s="81"/>
      <c r="Z171" s="81"/>
      <c r="AA171" s="81"/>
      <c r="AB171" s="81"/>
      <c r="AC171" s="81"/>
      <c r="AD171" s="81"/>
      <c r="AE171" s="81"/>
      <c r="AF171" s="81"/>
    </row>
    <row r="172" spans="1:32">
      <c r="A172" s="76" t="s">
        <v>906</v>
      </c>
      <c r="B172" s="79">
        <f>B171*2*0.55</f>
        <v>26840.000000000004</v>
      </c>
      <c r="C172" s="79">
        <f t="shared" ref="C172:I172" si="277">C171*2*0.55</f>
        <v>30690.000000000004</v>
      </c>
      <c r="D172" s="79">
        <f t="shared" si="277"/>
        <v>34540</v>
      </c>
      <c r="E172" s="79">
        <f t="shared" si="277"/>
        <v>38335</v>
      </c>
      <c r="F172" s="79">
        <f t="shared" si="277"/>
        <v>41415</v>
      </c>
      <c r="G172" s="79">
        <f t="shared" si="277"/>
        <v>44495</v>
      </c>
      <c r="H172" s="79">
        <f t="shared" si="277"/>
        <v>47575.000000000007</v>
      </c>
      <c r="I172" s="79">
        <f t="shared" si="277"/>
        <v>50655.000000000007</v>
      </c>
      <c r="J172" s="80">
        <f t="shared" ref="J172:J178" si="278">TRUNC(B172/12*0.3)</f>
        <v>671</v>
      </c>
      <c r="K172" s="80">
        <f t="shared" ref="K172:K178" si="279">TRUNC((B172+C172)/2/12*0.3)</f>
        <v>719</v>
      </c>
      <c r="L172" s="80">
        <f t="shared" ref="L172:L178" si="280">TRUNC((D172)/12*0.3)</f>
        <v>863</v>
      </c>
      <c r="M172" s="80">
        <f t="shared" ref="M172:M178" si="281">TRUNC(((E172+F172)/2)/12*0.3)</f>
        <v>996</v>
      </c>
      <c r="N172" s="80">
        <f t="shared" ref="N172:N178" si="282">TRUNC(G172/12*0.3)</f>
        <v>1112</v>
      </c>
      <c r="O172" s="80">
        <f t="shared" ref="O172:O178" si="283">TRUNC(((H172+I172)/2)/12*0.3)</f>
        <v>1227</v>
      </c>
      <c r="P172" s="81"/>
      <c r="Q172" s="81"/>
      <c r="R172" s="81"/>
      <c r="S172" s="81"/>
      <c r="T172" s="81"/>
      <c r="U172" s="81"/>
      <c r="V172" s="81"/>
      <c r="W172" s="81"/>
      <c r="X172" s="81"/>
      <c r="Y172" s="81"/>
      <c r="Z172" s="81"/>
      <c r="AA172" s="81"/>
      <c r="AB172" s="81"/>
      <c r="AC172" s="81"/>
      <c r="AD172" s="81"/>
      <c r="AE172" s="81"/>
      <c r="AF172" s="81"/>
    </row>
    <row r="173" spans="1:32">
      <c r="A173" s="76" t="s">
        <v>907</v>
      </c>
      <c r="B173" s="79">
        <f>B171*2*0.6</f>
        <v>29280</v>
      </c>
      <c r="C173" s="79">
        <f t="shared" ref="C173:I173" si="284">C171*2*0.6</f>
        <v>33480</v>
      </c>
      <c r="D173" s="79">
        <f t="shared" si="284"/>
        <v>37680</v>
      </c>
      <c r="E173" s="79">
        <f t="shared" si="284"/>
        <v>41820</v>
      </c>
      <c r="F173" s="79">
        <f t="shared" si="284"/>
        <v>45180</v>
      </c>
      <c r="G173" s="79">
        <f t="shared" si="284"/>
        <v>48540</v>
      </c>
      <c r="H173" s="79">
        <f t="shared" si="284"/>
        <v>51900</v>
      </c>
      <c r="I173" s="79">
        <f t="shared" si="284"/>
        <v>55260</v>
      </c>
      <c r="J173" s="80">
        <f t="shared" si="278"/>
        <v>732</v>
      </c>
      <c r="K173" s="80">
        <f t="shared" si="279"/>
        <v>784</v>
      </c>
      <c r="L173" s="80">
        <f t="shared" si="280"/>
        <v>942</v>
      </c>
      <c r="M173" s="80">
        <f t="shared" si="281"/>
        <v>1087</v>
      </c>
      <c r="N173" s="80">
        <f t="shared" si="282"/>
        <v>1213</v>
      </c>
      <c r="O173" s="80">
        <f t="shared" si="283"/>
        <v>1339</v>
      </c>
      <c r="P173" s="81"/>
      <c r="Q173" s="81"/>
      <c r="R173" s="81"/>
      <c r="S173" s="81"/>
      <c r="T173" s="81"/>
      <c r="U173" s="81"/>
      <c r="V173" s="81"/>
      <c r="W173" s="81"/>
      <c r="X173" s="81"/>
      <c r="Y173" s="81"/>
      <c r="Z173" s="81"/>
      <c r="AA173" s="81"/>
      <c r="AB173" s="81"/>
      <c r="AC173" s="81"/>
      <c r="AD173" s="81"/>
      <c r="AE173" s="81"/>
      <c r="AF173" s="81"/>
    </row>
    <row r="174" spans="1:32">
      <c r="A174" s="76" t="s">
        <v>908</v>
      </c>
      <c r="B174" s="79">
        <f>B171*2*0.65</f>
        <v>31720</v>
      </c>
      <c r="C174" s="79">
        <f t="shared" ref="C174:I174" si="285">C171*2*0.65</f>
        <v>36270</v>
      </c>
      <c r="D174" s="79">
        <f t="shared" si="285"/>
        <v>40820</v>
      </c>
      <c r="E174" s="79">
        <f t="shared" si="285"/>
        <v>45305</v>
      </c>
      <c r="F174" s="79">
        <f t="shared" si="285"/>
        <v>48945</v>
      </c>
      <c r="G174" s="79">
        <f t="shared" si="285"/>
        <v>52585</v>
      </c>
      <c r="H174" s="79">
        <f t="shared" si="285"/>
        <v>56225</v>
      </c>
      <c r="I174" s="79">
        <f t="shared" si="285"/>
        <v>59865</v>
      </c>
      <c r="J174" s="80">
        <f t="shared" si="278"/>
        <v>793</v>
      </c>
      <c r="K174" s="80">
        <f t="shared" si="279"/>
        <v>849</v>
      </c>
      <c r="L174" s="80">
        <f t="shared" si="280"/>
        <v>1020</v>
      </c>
      <c r="M174" s="80">
        <f t="shared" si="281"/>
        <v>1178</v>
      </c>
      <c r="N174" s="80">
        <f t="shared" si="282"/>
        <v>1314</v>
      </c>
      <c r="O174" s="80">
        <f t="shared" si="283"/>
        <v>1451</v>
      </c>
      <c r="P174" s="81"/>
      <c r="Q174" s="81"/>
      <c r="R174" s="81"/>
      <c r="S174" s="81"/>
      <c r="T174" s="81"/>
      <c r="U174" s="81"/>
      <c r="V174" s="81"/>
      <c r="W174" s="81"/>
      <c r="X174" s="81"/>
      <c r="Y174" s="81"/>
      <c r="Z174" s="81"/>
      <c r="AA174" s="81"/>
      <c r="AB174" s="81"/>
      <c r="AC174" s="81"/>
      <c r="AD174" s="81"/>
      <c r="AE174" s="81"/>
      <c r="AF174" s="81"/>
    </row>
    <row r="175" spans="1:32">
      <c r="A175" s="76" t="s">
        <v>909</v>
      </c>
      <c r="B175" s="79">
        <f>B171*2*0.7</f>
        <v>34160</v>
      </c>
      <c r="C175" s="79">
        <f t="shared" ref="C175:I175" si="286">C171*2*0.7</f>
        <v>39060</v>
      </c>
      <c r="D175" s="79">
        <f t="shared" si="286"/>
        <v>43960</v>
      </c>
      <c r="E175" s="79">
        <f t="shared" si="286"/>
        <v>48790</v>
      </c>
      <c r="F175" s="79">
        <f t="shared" si="286"/>
        <v>52710</v>
      </c>
      <c r="G175" s="79">
        <f t="shared" si="286"/>
        <v>56630</v>
      </c>
      <c r="H175" s="79">
        <f t="shared" si="286"/>
        <v>60549.999999999993</v>
      </c>
      <c r="I175" s="79">
        <f t="shared" si="286"/>
        <v>64469.999999999993</v>
      </c>
      <c r="J175" s="80">
        <f t="shared" si="278"/>
        <v>854</v>
      </c>
      <c r="K175" s="80">
        <f t="shared" si="279"/>
        <v>915</v>
      </c>
      <c r="L175" s="80">
        <f t="shared" si="280"/>
        <v>1099</v>
      </c>
      <c r="M175" s="80">
        <f t="shared" si="281"/>
        <v>1268</v>
      </c>
      <c r="N175" s="80">
        <f t="shared" si="282"/>
        <v>1415</v>
      </c>
      <c r="O175" s="80">
        <f t="shared" si="283"/>
        <v>1562</v>
      </c>
      <c r="P175" s="81"/>
      <c r="Q175" s="81"/>
      <c r="R175" s="81"/>
      <c r="S175" s="81"/>
      <c r="T175" s="81"/>
      <c r="U175" s="81"/>
      <c r="V175" s="81"/>
      <c r="W175" s="81"/>
      <c r="X175" s="81"/>
      <c r="Y175" s="81"/>
      <c r="Z175" s="81"/>
      <c r="AA175" s="81"/>
      <c r="AB175" s="81"/>
      <c r="AC175" s="81"/>
      <c r="AD175" s="81"/>
      <c r="AE175" s="81"/>
      <c r="AF175" s="81"/>
    </row>
    <row r="176" spans="1:32">
      <c r="A176" s="76" t="s">
        <v>910</v>
      </c>
      <c r="B176" s="79">
        <f>B171*2*0.75</f>
        <v>36600</v>
      </c>
      <c r="C176" s="79">
        <f t="shared" ref="C176:I176" si="287">C171*2*0.75</f>
        <v>41850</v>
      </c>
      <c r="D176" s="79">
        <f t="shared" si="287"/>
        <v>47100</v>
      </c>
      <c r="E176" s="79">
        <f t="shared" si="287"/>
        <v>52275</v>
      </c>
      <c r="F176" s="79">
        <f t="shared" si="287"/>
        <v>56475</v>
      </c>
      <c r="G176" s="79">
        <f t="shared" si="287"/>
        <v>60675</v>
      </c>
      <c r="H176" s="79">
        <f t="shared" si="287"/>
        <v>64875</v>
      </c>
      <c r="I176" s="79">
        <f t="shared" si="287"/>
        <v>69075</v>
      </c>
      <c r="J176" s="80">
        <f t="shared" si="278"/>
        <v>915</v>
      </c>
      <c r="K176" s="80">
        <f t="shared" si="279"/>
        <v>980</v>
      </c>
      <c r="L176" s="80">
        <f t="shared" si="280"/>
        <v>1177</v>
      </c>
      <c r="M176" s="80">
        <f t="shared" si="281"/>
        <v>1359</v>
      </c>
      <c r="N176" s="80">
        <f t="shared" si="282"/>
        <v>1516</v>
      </c>
      <c r="O176" s="80">
        <f t="shared" si="283"/>
        <v>1674</v>
      </c>
      <c r="P176" s="81"/>
      <c r="Q176" s="81"/>
      <c r="R176" s="81"/>
      <c r="S176" s="81"/>
      <c r="T176" s="81"/>
      <c r="U176" s="81"/>
      <c r="V176" s="81"/>
      <c r="W176" s="81"/>
      <c r="X176" s="81"/>
      <c r="Y176" s="81"/>
      <c r="Z176" s="81"/>
      <c r="AA176" s="81"/>
      <c r="AB176" s="81"/>
      <c r="AC176" s="81"/>
      <c r="AD176" s="81"/>
      <c r="AE176" s="81"/>
      <c r="AF176" s="81"/>
    </row>
    <row r="177" spans="1:32">
      <c r="A177" s="76" t="s">
        <v>911</v>
      </c>
      <c r="B177" s="79">
        <f>B171*2*0.8</f>
        <v>39040</v>
      </c>
      <c r="C177" s="79">
        <f t="shared" ref="C177:I177" si="288">C171*2*0.8</f>
        <v>44640</v>
      </c>
      <c r="D177" s="79">
        <f t="shared" si="288"/>
        <v>50240</v>
      </c>
      <c r="E177" s="79">
        <f t="shared" si="288"/>
        <v>55760</v>
      </c>
      <c r="F177" s="79">
        <f t="shared" si="288"/>
        <v>60240</v>
      </c>
      <c r="G177" s="79">
        <f t="shared" si="288"/>
        <v>64720</v>
      </c>
      <c r="H177" s="79">
        <f t="shared" si="288"/>
        <v>69200</v>
      </c>
      <c r="I177" s="79">
        <f t="shared" si="288"/>
        <v>73680</v>
      </c>
      <c r="J177" s="80">
        <f t="shared" si="278"/>
        <v>976</v>
      </c>
      <c r="K177" s="80">
        <f t="shared" si="279"/>
        <v>1046</v>
      </c>
      <c r="L177" s="80">
        <f t="shared" si="280"/>
        <v>1256</v>
      </c>
      <c r="M177" s="80">
        <f t="shared" si="281"/>
        <v>1450</v>
      </c>
      <c r="N177" s="80">
        <f t="shared" si="282"/>
        <v>1618</v>
      </c>
      <c r="O177" s="80">
        <f t="shared" si="283"/>
        <v>1786</v>
      </c>
      <c r="P177" s="81"/>
      <c r="Q177" s="81"/>
      <c r="R177" s="81"/>
      <c r="S177" s="81"/>
      <c r="T177" s="81"/>
      <c r="U177" s="81"/>
      <c r="V177" s="81"/>
      <c r="W177" s="81"/>
      <c r="X177" s="81"/>
      <c r="Y177" s="81"/>
      <c r="Z177" s="81"/>
      <c r="AA177" s="81"/>
      <c r="AB177" s="81"/>
      <c r="AC177" s="81"/>
      <c r="AD177" s="81"/>
      <c r="AE177" s="81"/>
      <c r="AF177" s="81"/>
    </row>
    <row r="178" spans="1:32">
      <c r="A178" s="76" t="s">
        <v>912</v>
      </c>
      <c r="B178" s="79">
        <f>B171*2*0.9</f>
        <v>43920</v>
      </c>
      <c r="C178" s="79">
        <f t="shared" ref="C178:I178" si="289">C171*2*0.9</f>
        <v>50220</v>
      </c>
      <c r="D178" s="79">
        <f t="shared" si="289"/>
        <v>56520</v>
      </c>
      <c r="E178" s="79">
        <f t="shared" si="289"/>
        <v>62730</v>
      </c>
      <c r="F178" s="79">
        <f t="shared" si="289"/>
        <v>67770</v>
      </c>
      <c r="G178" s="79">
        <f t="shared" si="289"/>
        <v>72810</v>
      </c>
      <c r="H178" s="79">
        <f t="shared" si="289"/>
        <v>77850</v>
      </c>
      <c r="I178" s="79">
        <f t="shared" si="289"/>
        <v>82890</v>
      </c>
      <c r="J178" s="80">
        <f t="shared" si="278"/>
        <v>1098</v>
      </c>
      <c r="K178" s="80">
        <f t="shared" si="279"/>
        <v>1176</v>
      </c>
      <c r="L178" s="80">
        <f t="shared" si="280"/>
        <v>1413</v>
      </c>
      <c r="M178" s="80">
        <f t="shared" si="281"/>
        <v>1631</v>
      </c>
      <c r="N178" s="80">
        <f t="shared" si="282"/>
        <v>1820</v>
      </c>
      <c r="O178" s="80">
        <f t="shared" si="283"/>
        <v>2009</v>
      </c>
      <c r="P178" s="81"/>
      <c r="Q178" s="81"/>
      <c r="R178" s="81"/>
      <c r="S178" s="81"/>
      <c r="T178" s="81"/>
      <c r="U178" s="81"/>
      <c r="V178" s="81"/>
      <c r="W178" s="81"/>
      <c r="X178" s="81"/>
      <c r="Y178" s="81"/>
      <c r="Z178" s="81"/>
      <c r="AA178" s="81"/>
      <c r="AB178" s="81"/>
      <c r="AC178" s="81"/>
      <c r="AD178" s="81"/>
      <c r="AE178" s="81"/>
      <c r="AF178" s="81"/>
    </row>
    <row r="179" spans="1:32">
      <c r="A179" s="76" t="s">
        <v>913</v>
      </c>
      <c r="B179" s="79">
        <f>B171*2</f>
        <v>48800</v>
      </c>
      <c r="C179" s="79">
        <f t="shared" ref="C179:I179" si="290">C171*2</f>
        <v>55800</v>
      </c>
      <c r="D179" s="79">
        <f t="shared" si="290"/>
        <v>62800</v>
      </c>
      <c r="E179" s="79">
        <f t="shared" si="290"/>
        <v>69700</v>
      </c>
      <c r="F179" s="79">
        <f t="shared" si="290"/>
        <v>75300</v>
      </c>
      <c r="G179" s="79">
        <f t="shared" si="290"/>
        <v>80900</v>
      </c>
      <c r="H179" s="79">
        <f t="shared" si="290"/>
        <v>86500</v>
      </c>
      <c r="I179" s="79">
        <f t="shared" si="290"/>
        <v>92100</v>
      </c>
      <c r="J179" s="80">
        <f>J171*2</f>
        <v>1220</v>
      </c>
      <c r="K179" s="80">
        <f t="shared" ref="K179:O179" si="291">K171*2</f>
        <v>1306</v>
      </c>
      <c r="L179" s="80">
        <f t="shared" si="291"/>
        <v>1570</v>
      </c>
      <c r="M179" s="80">
        <f t="shared" si="291"/>
        <v>1812</v>
      </c>
      <c r="N179" s="80">
        <f t="shared" si="291"/>
        <v>2022</v>
      </c>
      <c r="O179" s="80">
        <f t="shared" si="291"/>
        <v>2232</v>
      </c>
      <c r="P179" s="81"/>
      <c r="Q179" s="81"/>
      <c r="R179" s="81"/>
      <c r="S179" s="81"/>
      <c r="T179" s="81"/>
      <c r="U179" s="81"/>
      <c r="V179" s="81"/>
      <c r="W179" s="81"/>
      <c r="X179" s="81"/>
      <c r="Y179" s="81"/>
      <c r="Z179" s="81"/>
      <c r="AA179" s="81"/>
      <c r="AB179" s="81"/>
      <c r="AC179" s="81"/>
      <c r="AD179" s="81"/>
      <c r="AE179" s="81"/>
      <c r="AF179" s="81"/>
    </row>
    <row r="180" spans="1:32">
      <c r="A180" s="76" t="s">
        <v>914</v>
      </c>
      <c r="B180" s="79">
        <f>B171*2*1.1</f>
        <v>53680.000000000007</v>
      </c>
      <c r="C180" s="79">
        <f t="shared" ref="C180:I180" si="292">C171*2*1.1</f>
        <v>61380.000000000007</v>
      </c>
      <c r="D180" s="79">
        <f t="shared" si="292"/>
        <v>69080</v>
      </c>
      <c r="E180" s="79">
        <f t="shared" si="292"/>
        <v>76670</v>
      </c>
      <c r="F180" s="79">
        <f t="shared" si="292"/>
        <v>82830</v>
      </c>
      <c r="G180" s="79">
        <f t="shared" si="292"/>
        <v>88990</v>
      </c>
      <c r="H180" s="79">
        <f t="shared" si="292"/>
        <v>95150.000000000015</v>
      </c>
      <c r="I180" s="79">
        <f t="shared" si="292"/>
        <v>101310.00000000001</v>
      </c>
      <c r="J180" s="80">
        <f t="shared" ref="J180:J188" si="293">TRUNC(B180/12*0.3)</f>
        <v>1342</v>
      </c>
      <c r="K180" s="80">
        <f t="shared" ref="K180:K188" si="294">TRUNC((B180+C180)/2/12*0.3)</f>
        <v>1438</v>
      </c>
      <c r="L180" s="80">
        <f t="shared" ref="L180:L188" si="295">TRUNC((D180)/12*0.3)</f>
        <v>1727</v>
      </c>
      <c r="M180" s="80">
        <f t="shared" ref="M180:M188" si="296">TRUNC(((E180+F180)/2)/12*0.3)</f>
        <v>1993</v>
      </c>
      <c r="N180" s="80">
        <f t="shared" ref="N180:N188" si="297">TRUNC(G180/12*0.3)</f>
        <v>2224</v>
      </c>
      <c r="O180" s="80">
        <f t="shared" ref="O180:O188" si="298">TRUNC(((H180+I180)/2)/12*0.3)</f>
        <v>2455</v>
      </c>
      <c r="P180" s="81"/>
      <c r="Q180" s="81"/>
      <c r="R180" s="81"/>
      <c r="S180" s="81"/>
      <c r="T180" s="81"/>
      <c r="U180" s="81"/>
      <c r="V180" s="81"/>
      <c r="W180" s="81"/>
      <c r="X180" s="81"/>
      <c r="Y180" s="81"/>
      <c r="Z180" s="81"/>
      <c r="AA180" s="81"/>
      <c r="AB180" s="81"/>
      <c r="AC180" s="81"/>
      <c r="AD180" s="81"/>
      <c r="AE180" s="81"/>
      <c r="AF180" s="81"/>
    </row>
    <row r="181" spans="1:32">
      <c r="A181" s="76" t="s">
        <v>915</v>
      </c>
      <c r="B181" s="79">
        <f>B171*2*1.2</f>
        <v>58560</v>
      </c>
      <c r="C181" s="79">
        <f t="shared" ref="C181:I181" si="299">C171*2*1.2</f>
        <v>66960</v>
      </c>
      <c r="D181" s="79">
        <f t="shared" si="299"/>
        <v>75360</v>
      </c>
      <c r="E181" s="79">
        <f t="shared" si="299"/>
        <v>83640</v>
      </c>
      <c r="F181" s="79">
        <f t="shared" si="299"/>
        <v>90360</v>
      </c>
      <c r="G181" s="79">
        <f t="shared" si="299"/>
        <v>97080</v>
      </c>
      <c r="H181" s="79">
        <f t="shared" si="299"/>
        <v>103800</v>
      </c>
      <c r="I181" s="79">
        <f t="shared" si="299"/>
        <v>110520</v>
      </c>
      <c r="J181" s="80">
        <f t="shared" si="293"/>
        <v>1464</v>
      </c>
      <c r="K181" s="80">
        <f t="shared" si="294"/>
        <v>1569</v>
      </c>
      <c r="L181" s="80">
        <f t="shared" si="295"/>
        <v>1884</v>
      </c>
      <c r="M181" s="80">
        <f t="shared" si="296"/>
        <v>2175</v>
      </c>
      <c r="N181" s="80">
        <f t="shared" si="297"/>
        <v>2427</v>
      </c>
      <c r="O181" s="80">
        <f t="shared" si="298"/>
        <v>2679</v>
      </c>
      <c r="P181" s="81"/>
      <c r="Q181" s="81"/>
      <c r="R181" s="81"/>
      <c r="S181" s="81"/>
      <c r="T181" s="81"/>
      <c r="U181" s="81"/>
      <c r="V181" s="81"/>
      <c r="W181" s="81"/>
      <c r="X181" s="81"/>
      <c r="Y181" s="81"/>
      <c r="Z181" s="81"/>
      <c r="AA181" s="81"/>
      <c r="AB181" s="81"/>
      <c r="AC181" s="81"/>
      <c r="AD181" s="81"/>
      <c r="AE181" s="81"/>
      <c r="AF181" s="81"/>
    </row>
    <row r="182" spans="1:32">
      <c r="A182" s="76" t="s">
        <v>916</v>
      </c>
      <c r="B182" s="79">
        <f>B189*2*0.15</f>
        <v>7320</v>
      </c>
      <c r="C182" s="79">
        <f>C189*2*0.15</f>
        <v>8370</v>
      </c>
      <c r="D182" s="79">
        <f>D189*2*0.15</f>
        <v>9420</v>
      </c>
      <c r="E182" s="79">
        <f>E189*2*0.15</f>
        <v>10455</v>
      </c>
      <c r="F182" s="79">
        <f>F189*2*0.15</f>
        <v>11295</v>
      </c>
      <c r="G182" s="79">
        <f t="shared" ref="G182:I182" si="300">G189*2*0.15</f>
        <v>12135</v>
      </c>
      <c r="H182" s="79">
        <f t="shared" si="300"/>
        <v>12975</v>
      </c>
      <c r="I182" s="79">
        <f t="shared" si="300"/>
        <v>13815</v>
      </c>
      <c r="J182" s="80">
        <f t="shared" si="293"/>
        <v>183</v>
      </c>
      <c r="K182" s="80">
        <f t="shared" si="294"/>
        <v>196</v>
      </c>
      <c r="L182" s="80">
        <f t="shared" si="295"/>
        <v>235</v>
      </c>
      <c r="M182" s="80">
        <f t="shared" si="296"/>
        <v>271</v>
      </c>
      <c r="N182" s="80">
        <f t="shared" si="297"/>
        <v>303</v>
      </c>
      <c r="O182" s="80">
        <f t="shared" si="298"/>
        <v>334</v>
      </c>
      <c r="P182" s="81"/>
      <c r="Q182" s="81"/>
      <c r="R182" s="81"/>
      <c r="S182" s="81"/>
      <c r="T182" s="81"/>
      <c r="U182" s="81"/>
      <c r="V182" s="81"/>
      <c r="W182" s="81"/>
      <c r="X182" s="81"/>
      <c r="Y182" s="81"/>
      <c r="Z182" s="81"/>
      <c r="AA182" s="81"/>
      <c r="AB182" s="81"/>
      <c r="AC182" s="81"/>
      <c r="AD182" s="81"/>
      <c r="AE182" s="81"/>
      <c r="AF182" s="81"/>
    </row>
    <row r="183" spans="1:32">
      <c r="A183" s="76" t="s">
        <v>917</v>
      </c>
      <c r="B183" s="79">
        <f>B189*2*0.2</f>
        <v>9760</v>
      </c>
      <c r="C183" s="79">
        <f t="shared" ref="C183:I183" si="301">C189*2*0.2</f>
        <v>11160</v>
      </c>
      <c r="D183" s="79">
        <f t="shared" si="301"/>
        <v>12560</v>
      </c>
      <c r="E183" s="79">
        <f t="shared" si="301"/>
        <v>13940</v>
      </c>
      <c r="F183" s="79">
        <f t="shared" si="301"/>
        <v>15060</v>
      </c>
      <c r="G183" s="79">
        <f t="shared" si="301"/>
        <v>16180</v>
      </c>
      <c r="H183" s="79">
        <f t="shared" si="301"/>
        <v>17300</v>
      </c>
      <c r="I183" s="79">
        <f t="shared" si="301"/>
        <v>18420</v>
      </c>
      <c r="J183" s="80">
        <f t="shared" si="293"/>
        <v>244</v>
      </c>
      <c r="K183" s="80">
        <f t="shared" si="294"/>
        <v>261</v>
      </c>
      <c r="L183" s="80">
        <f t="shared" si="295"/>
        <v>314</v>
      </c>
      <c r="M183" s="80">
        <f t="shared" si="296"/>
        <v>362</v>
      </c>
      <c r="N183" s="80">
        <f t="shared" si="297"/>
        <v>404</v>
      </c>
      <c r="O183" s="80">
        <f t="shared" si="298"/>
        <v>446</v>
      </c>
      <c r="P183" s="81"/>
      <c r="Q183" s="81"/>
      <c r="R183" s="81"/>
      <c r="S183" s="81"/>
      <c r="T183" s="81"/>
      <c r="U183" s="81"/>
      <c r="V183" s="81"/>
      <c r="W183" s="81"/>
      <c r="X183" s="81"/>
      <c r="Y183" s="81"/>
      <c r="Z183" s="81"/>
      <c r="AA183" s="81"/>
      <c r="AB183" s="81"/>
      <c r="AC183" s="81"/>
      <c r="AD183" s="81"/>
      <c r="AE183" s="81"/>
      <c r="AF183" s="81"/>
    </row>
    <row r="184" spans="1:32">
      <c r="A184" s="76" t="s">
        <v>918</v>
      </c>
      <c r="B184" s="79">
        <f>B189*2*0.25</f>
        <v>12200</v>
      </c>
      <c r="C184" s="79">
        <f t="shared" ref="C184:I184" si="302">C189*2*0.25</f>
        <v>13950</v>
      </c>
      <c r="D184" s="79">
        <f t="shared" si="302"/>
        <v>15700</v>
      </c>
      <c r="E184" s="79">
        <f t="shared" si="302"/>
        <v>17425</v>
      </c>
      <c r="F184" s="79">
        <f t="shared" si="302"/>
        <v>18825</v>
      </c>
      <c r="G184" s="79">
        <f t="shared" si="302"/>
        <v>20225</v>
      </c>
      <c r="H184" s="79">
        <f t="shared" si="302"/>
        <v>21625</v>
      </c>
      <c r="I184" s="79">
        <f t="shared" si="302"/>
        <v>23025</v>
      </c>
      <c r="J184" s="80">
        <f t="shared" si="293"/>
        <v>305</v>
      </c>
      <c r="K184" s="80">
        <f t="shared" si="294"/>
        <v>326</v>
      </c>
      <c r="L184" s="80">
        <f t="shared" si="295"/>
        <v>392</v>
      </c>
      <c r="M184" s="80">
        <f t="shared" si="296"/>
        <v>453</v>
      </c>
      <c r="N184" s="80">
        <f t="shared" si="297"/>
        <v>505</v>
      </c>
      <c r="O184" s="80">
        <f t="shared" si="298"/>
        <v>558</v>
      </c>
      <c r="P184" s="81"/>
      <c r="Q184" s="81"/>
      <c r="R184" s="81"/>
      <c r="S184" s="81"/>
      <c r="T184" s="81"/>
      <c r="U184" s="81"/>
      <c r="V184" s="81"/>
      <c r="W184" s="81"/>
      <c r="X184" s="81"/>
      <c r="Y184" s="81"/>
      <c r="Z184" s="81"/>
      <c r="AA184" s="81"/>
      <c r="AB184" s="81"/>
      <c r="AC184" s="81"/>
      <c r="AD184" s="81"/>
      <c r="AE184" s="81"/>
      <c r="AF184" s="81"/>
    </row>
    <row r="185" spans="1:32">
      <c r="A185" s="76" t="s">
        <v>919</v>
      </c>
      <c r="B185" s="79">
        <f>B189*2*0.3</f>
        <v>14640</v>
      </c>
      <c r="C185" s="79">
        <f t="shared" ref="C185:I185" si="303">C189*2*0.3</f>
        <v>16740</v>
      </c>
      <c r="D185" s="79">
        <f t="shared" si="303"/>
        <v>18840</v>
      </c>
      <c r="E185" s="79">
        <f t="shared" si="303"/>
        <v>20910</v>
      </c>
      <c r="F185" s="79">
        <f t="shared" si="303"/>
        <v>22590</v>
      </c>
      <c r="G185" s="79">
        <f t="shared" si="303"/>
        <v>24270</v>
      </c>
      <c r="H185" s="79">
        <f t="shared" si="303"/>
        <v>25950</v>
      </c>
      <c r="I185" s="79">
        <f t="shared" si="303"/>
        <v>27630</v>
      </c>
      <c r="J185" s="80">
        <f t="shared" si="293"/>
        <v>366</v>
      </c>
      <c r="K185" s="80">
        <f t="shared" si="294"/>
        <v>392</v>
      </c>
      <c r="L185" s="80">
        <f t="shared" si="295"/>
        <v>471</v>
      </c>
      <c r="M185" s="80">
        <f t="shared" si="296"/>
        <v>543</v>
      </c>
      <c r="N185" s="80">
        <f t="shared" si="297"/>
        <v>606</v>
      </c>
      <c r="O185" s="80">
        <f t="shared" si="298"/>
        <v>669</v>
      </c>
      <c r="P185" s="81"/>
      <c r="Q185" s="81"/>
      <c r="R185" s="81"/>
      <c r="S185" s="81"/>
      <c r="T185" s="81"/>
      <c r="U185" s="81"/>
      <c r="V185" s="81"/>
      <c r="W185" s="81"/>
      <c r="X185" s="81"/>
      <c r="Y185" s="81"/>
      <c r="Z185" s="81"/>
      <c r="AA185" s="81"/>
      <c r="AB185" s="81"/>
      <c r="AC185" s="81"/>
      <c r="AD185" s="81"/>
      <c r="AE185" s="81"/>
      <c r="AF185" s="81"/>
    </row>
    <row r="186" spans="1:32">
      <c r="A186" s="76" t="s">
        <v>920</v>
      </c>
      <c r="B186" s="79">
        <f>B189*2*0.35</f>
        <v>17080</v>
      </c>
      <c r="C186" s="79">
        <f t="shared" ref="C186:I186" si="304">C189*2*0.35</f>
        <v>19530</v>
      </c>
      <c r="D186" s="79">
        <f t="shared" si="304"/>
        <v>21980</v>
      </c>
      <c r="E186" s="79">
        <f t="shared" si="304"/>
        <v>24395</v>
      </c>
      <c r="F186" s="79">
        <f t="shared" si="304"/>
        <v>26355</v>
      </c>
      <c r="G186" s="79">
        <f t="shared" si="304"/>
        <v>28315</v>
      </c>
      <c r="H186" s="79">
        <f t="shared" si="304"/>
        <v>30274.999999999996</v>
      </c>
      <c r="I186" s="79">
        <f t="shared" si="304"/>
        <v>32234.999999999996</v>
      </c>
      <c r="J186" s="80">
        <f t="shared" si="293"/>
        <v>427</v>
      </c>
      <c r="K186" s="80">
        <f t="shared" si="294"/>
        <v>457</v>
      </c>
      <c r="L186" s="80">
        <f t="shared" si="295"/>
        <v>549</v>
      </c>
      <c r="M186" s="80">
        <f t="shared" si="296"/>
        <v>634</v>
      </c>
      <c r="N186" s="80">
        <f t="shared" si="297"/>
        <v>707</v>
      </c>
      <c r="O186" s="80">
        <f t="shared" si="298"/>
        <v>781</v>
      </c>
      <c r="P186" s="81"/>
      <c r="Q186" s="81"/>
      <c r="R186" s="81"/>
      <c r="S186" s="81"/>
      <c r="T186" s="81"/>
      <c r="U186" s="81"/>
      <c r="V186" s="81"/>
      <c r="W186" s="81"/>
      <c r="X186" s="81"/>
      <c r="Y186" s="81"/>
      <c r="Z186" s="81"/>
      <c r="AA186" s="81"/>
      <c r="AB186" s="81"/>
      <c r="AC186" s="81"/>
      <c r="AD186" s="81"/>
      <c r="AE186" s="81"/>
      <c r="AF186" s="81"/>
    </row>
    <row r="187" spans="1:32">
      <c r="A187" s="76" t="s">
        <v>921</v>
      </c>
      <c r="B187" s="79">
        <f>B189*2*0.4</f>
        <v>19520</v>
      </c>
      <c r="C187" s="79">
        <f t="shared" ref="C187:I187" si="305">C189*2*0.4</f>
        <v>22320</v>
      </c>
      <c r="D187" s="79">
        <f t="shared" si="305"/>
        <v>25120</v>
      </c>
      <c r="E187" s="79">
        <f t="shared" si="305"/>
        <v>27880</v>
      </c>
      <c r="F187" s="79">
        <f t="shared" si="305"/>
        <v>30120</v>
      </c>
      <c r="G187" s="79">
        <f t="shared" si="305"/>
        <v>32360</v>
      </c>
      <c r="H187" s="79">
        <f t="shared" si="305"/>
        <v>34600</v>
      </c>
      <c r="I187" s="79">
        <f t="shared" si="305"/>
        <v>36840</v>
      </c>
      <c r="J187" s="80">
        <f t="shared" si="293"/>
        <v>488</v>
      </c>
      <c r="K187" s="80">
        <f t="shared" si="294"/>
        <v>523</v>
      </c>
      <c r="L187" s="80">
        <f t="shared" si="295"/>
        <v>628</v>
      </c>
      <c r="M187" s="80">
        <f t="shared" si="296"/>
        <v>725</v>
      </c>
      <c r="N187" s="80">
        <f t="shared" si="297"/>
        <v>809</v>
      </c>
      <c r="O187" s="80">
        <f t="shared" si="298"/>
        <v>893</v>
      </c>
      <c r="P187" s="81"/>
      <c r="Q187" s="81"/>
      <c r="R187" s="81"/>
      <c r="S187" s="81"/>
      <c r="T187" s="81"/>
      <c r="U187" s="81"/>
      <c r="V187" s="81"/>
      <c r="W187" s="81"/>
      <c r="X187" s="81"/>
      <c r="Y187" s="81"/>
      <c r="Z187" s="81"/>
      <c r="AA187" s="81"/>
      <c r="AB187" s="81"/>
      <c r="AC187" s="81"/>
      <c r="AD187" s="81"/>
      <c r="AE187" s="81"/>
      <c r="AF187" s="81"/>
    </row>
    <row r="188" spans="1:32">
      <c r="A188" s="76" t="s">
        <v>922</v>
      </c>
      <c r="B188" s="79">
        <f>B189*2*0.45</f>
        <v>21960</v>
      </c>
      <c r="C188" s="79">
        <f t="shared" ref="C188:I188" si="306">C189*2*0.45</f>
        <v>25110</v>
      </c>
      <c r="D188" s="79">
        <f t="shared" si="306"/>
        <v>28260</v>
      </c>
      <c r="E188" s="79">
        <f t="shared" si="306"/>
        <v>31365</v>
      </c>
      <c r="F188" s="79">
        <f t="shared" si="306"/>
        <v>33885</v>
      </c>
      <c r="G188" s="79">
        <f t="shared" si="306"/>
        <v>36405</v>
      </c>
      <c r="H188" s="79">
        <f t="shared" si="306"/>
        <v>38925</v>
      </c>
      <c r="I188" s="79">
        <f t="shared" si="306"/>
        <v>41445</v>
      </c>
      <c r="J188" s="80">
        <f t="shared" si="293"/>
        <v>549</v>
      </c>
      <c r="K188" s="80">
        <f t="shared" si="294"/>
        <v>588</v>
      </c>
      <c r="L188" s="80">
        <f t="shared" si="295"/>
        <v>706</v>
      </c>
      <c r="M188" s="80">
        <f t="shared" si="296"/>
        <v>815</v>
      </c>
      <c r="N188" s="80">
        <f t="shared" si="297"/>
        <v>910</v>
      </c>
      <c r="O188" s="80">
        <f t="shared" si="298"/>
        <v>1004</v>
      </c>
      <c r="P188" s="81"/>
      <c r="Q188" s="81"/>
      <c r="R188" s="81"/>
      <c r="S188" s="81"/>
      <c r="T188" s="81"/>
      <c r="U188" s="81"/>
      <c r="V188" s="81"/>
      <c r="W188" s="81"/>
      <c r="X188" s="81"/>
      <c r="Y188" s="81"/>
      <c r="Z188" s="81"/>
      <c r="AA188" s="81"/>
      <c r="AB188" s="81"/>
      <c r="AC188" s="81"/>
      <c r="AD188" s="81"/>
      <c r="AE188" s="81"/>
      <c r="AF188" s="81"/>
    </row>
    <row r="189" spans="1:32">
      <c r="A189" s="82" t="s">
        <v>923</v>
      </c>
      <c r="B189" s="84">
        <f>'MTSP 50% Income Limits '!B12</f>
        <v>24400</v>
      </c>
      <c r="C189" s="84">
        <f>'MTSP 50% Income Limits '!C12</f>
        <v>27900</v>
      </c>
      <c r="D189" s="84">
        <f>'MTSP 50% Income Limits '!D12</f>
        <v>31400</v>
      </c>
      <c r="E189" s="84">
        <f>'MTSP 50% Income Limits '!E12</f>
        <v>34850</v>
      </c>
      <c r="F189" s="84">
        <f>'MTSP 50% Income Limits '!F12</f>
        <v>37650</v>
      </c>
      <c r="G189" s="84">
        <f>'MTSP 50% Income Limits '!G12</f>
        <v>40450</v>
      </c>
      <c r="H189" s="84">
        <f>'MTSP 50% Income Limits '!H12</f>
        <v>43250</v>
      </c>
      <c r="I189" s="84">
        <f>'MTSP 50% Income Limits '!I12</f>
        <v>46050</v>
      </c>
      <c r="J189" s="83">
        <f>TRUNC(B189/12*0.3)</f>
        <v>610</v>
      </c>
      <c r="K189" s="83">
        <f>TRUNC((B189+C189)/2/12*0.3)</f>
        <v>653</v>
      </c>
      <c r="L189" s="83">
        <f>TRUNC((D189)/12*0.3)</f>
        <v>785</v>
      </c>
      <c r="M189" s="83">
        <f>TRUNC(((E189+F189)/2)/12*0.3)</f>
        <v>906</v>
      </c>
      <c r="N189" s="83">
        <f>TRUNC(G189/12*0.3)</f>
        <v>1011</v>
      </c>
      <c r="O189" s="83">
        <f>TRUNC(((H189+I189)/2)/12*0.3)</f>
        <v>1116</v>
      </c>
      <c r="P189" s="81"/>
      <c r="Q189" s="81"/>
      <c r="R189" s="81"/>
      <c r="S189" s="81"/>
      <c r="T189" s="81"/>
      <c r="U189" s="81"/>
      <c r="V189" s="81"/>
      <c r="W189" s="81"/>
      <c r="X189" s="81"/>
      <c r="Y189" s="81"/>
      <c r="Z189" s="81"/>
      <c r="AA189" s="81"/>
      <c r="AB189" s="81"/>
      <c r="AC189" s="81"/>
      <c r="AD189" s="81"/>
      <c r="AE189" s="81"/>
      <c r="AF189" s="81"/>
    </row>
    <row r="190" spans="1:32">
      <c r="A190" s="76" t="s">
        <v>924</v>
      </c>
      <c r="B190" s="79">
        <f>B189*2*0.55</f>
        <v>26840.000000000004</v>
      </c>
      <c r="C190" s="79">
        <f t="shared" ref="C190:I190" si="307">C189*2*0.55</f>
        <v>30690.000000000004</v>
      </c>
      <c r="D190" s="79">
        <f t="shared" si="307"/>
        <v>34540</v>
      </c>
      <c r="E190" s="79">
        <f t="shared" si="307"/>
        <v>38335</v>
      </c>
      <c r="F190" s="79">
        <f t="shared" si="307"/>
        <v>41415</v>
      </c>
      <c r="G190" s="79">
        <f t="shared" si="307"/>
        <v>44495</v>
      </c>
      <c r="H190" s="79">
        <f t="shared" si="307"/>
        <v>47575.000000000007</v>
      </c>
      <c r="I190" s="79">
        <f t="shared" si="307"/>
        <v>50655.000000000007</v>
      </c>
      <c r="J190" s="80">
        <f t="shared" ref="J190:J196" si="308">TRUNC(B190/12*0.3)</f>
        <v>671</v>
      </c>
      <c r="K190" s="80">
        <f t="shared" ref="K190:K196" si="309">TRUNC((B190+C190)/2/12*0.3)</f>
        <v>719</v>
      </c>
      <c r="L190" s="80">
        <f t="shared" ref="L190:L196" si="310">TRUNC((D190)/12*0.3)</f>
        <v>863</v>
      </c>
      <c r="M190" s="80">
        <f t="shared" ref="M190:M196" si="311">TRUNC(((E190+F190)/2)/12*0.3)</f>
        <v>996</v>
      </c>
      <c r="N190" s="80">
        <f t="shared" ref="N190:N196" si="312">TRUNC(G190/12*0.3)</f>
        <v>1112</v>
      </c>
      <c r="O190" s="80">
        <f t="shared" ref="O190:O196" si="313">TRUNC(((H190+I190)/2)/12*0.3)</f>
        <v>1227</v>
      </c>
      <c r="P190" s="81"/>
      <c r="Q190" s="81"/>
      <c r="R190" s="81"/>
      <c r="S190" s="81"/>
      <c r="T190" s="81"/>
      <c r="U190" s="81"/>
      <c r="V190" s="81"/>
      <c r="W190" s="81"/>
      <c r="X190" s="81"/>
      <c r="Y190" s="81"/>
      <c r="Z190" s="81"/>
      <c r="AA190" s="81"/>
      <c r="AB190" s="81"/>
      <c r="AC190" s="81"/>
      <c r="AD190" s="81"/>
      <c r="AE190" s="81"/>
      <c r="AF190" s="81"/>
    </row>
    <row r="191" spans="1:32">
      <c r="A191" s="76" t="s">
        <v>925</v>
      </c>
      <c r="B191" s="79">
        <f>B189*2*0.6</f>
        <v>29280</v>
      </c>
      <c r="C191" s="79">
        <f t="shared" ref="C191:I191" si="314">C189*2*0.6</f>
        <v>33480</v>
      </c>
      <c r="D191" s="79">
        <f t="shared" si="314"/>
        <v>37680</v>
      </c>
      <c r="E191" s="79">
        <f t="shared" si="314"/>
        <v>41820</v>
      </c>
      <c r="F191" s="79">
        <f t="shared" si="314"/>
        <v>45180</v>
      </c>
      <c r="G191" s="79">
        <f t="shared" si="314"/>
        <v>48540</v>
      </c>
      <c r="H191" s="79">
        <f t="shared" si="314"/>
        <v>51900</v>
      </c>
      <c r="I191" s="79">
        <f t="shared" si="314"/>
        <v>55260</v>
      </c>
      <c r="J191" s="80">
        <f t="shared" si="308"/>
        <v>732</v>
      </c>
      <c r="K191" s="80">
        <f t="shared" si="309"/>
        <v>784</v>
      </c>
      <c r="L191" s="80">
        <f t="shared" si="310"/>
        <v>942</v>
      </c>
      <c r="M191" s="80">
        <f t="shared" si="311"/>
        <v>1087</v>
      </c>
      <c r="N191" s="80">
        <f t="shared" si="312"/>
        <v>1213</v>
      </c>
      <c r="O191" s="80">
        <f t="shared" si="313"/>
        <v>1339</v>
      </c>
      <c r="P191" s="81"/>
      <c r="Q191" s="81"/>
      <c r="R191" s="81"/>
      <c r="S191" s="81"/>
      <c r="T191" s="81"/>
      <c r="U191" s="81"/>
      <c r="V191" s="81"/>
      <c r="W191" s="81"/>
      <c r="X191" s="81"/>
      <c r="Y191" s="81"/>
      <c r="Z191" s="81"/>
      <c r="AA191" s="81"/>
      <c r="AB191" s="81"/>
      <c r="AC191" s="81"/>
      <c r="AD191" s="81"/>
      <c r="AE191" s="81"/>
      <c r="AF191" s="81"/>
    </row>
    <row r="192" spans="1:32">
      <c r="A192" s="76" t="s">
        <v>926</v>
      </c>
      <c r="B192" s="79">
        <f>B189*2*0.65</f>
        <v>31720</v>
      </c>
      <c r="C192" s="79">
        <f t="shared" ref="C192:I192" si="315">C189*2*0.65</f>
        <v>36270</v>
      </c>
      <c r="D192" s="79">
        <f t="shared" si="315"/>
        <v>40820</v>
      </c>
      <c r="E192" s="79">
        <f t="shared" si="315"/>
        <v>45305</v>
      </c>
      <c r="F192" s="79">
        <f t="shared" si="315"/>
        <v>48945</v>
      </c>
      <c r="G192" s="79">
        <f t="shared" si="315"/>
        <v>52585</v>
      </c>
      <c r="H192" s="79">
        <f t="shared" si="315"/>
        <v>56225</v>
      </c>
      <c r="I192" s="79">
        <f t="shared" si="315"/>
        <v>59865</v>
      </c>
      <c r="J192" s="80">
        <f t="shared" si="308"/>
        <v>793</v>
      </c>
      <c r="K192" s="80">
        <f t="shared" si="309"/>
        <v>849</v>
      </c>
      <c r="L192" s="80">
        <f t="shared" si="310"/>
        <v>1020</v>
      </c>
      <c r="M192" s="80">
        <f t="shared" si="311"/>
        <v>1178</v>
      </c>
      <c r="N192" s="80">
        <f t="shared" si="312"/>
        <v>1314</v>
      </c>
      <c r="O192" s="80">
        <f t="shared" si="313"/>
        <v>1451</v>
      </c>
      <c r="P192" s="81"/>
      <c r="Q192" s="81"/>
      <c r="R192" s="81"/>
      <c r="S192" s="81"/>
      <c r="T192" s="81"/>
      <c r="U192" s="81"/>
      <c r="V192" s="81"/>
      <c r="W192" s="81"/>
      <c r="X192" s="81"/>
      <c r="Y192" s="81"/>
      <c r="Z192" s="81"/>
      <c r="AA192" s="81"/>
      <c r="AB192" s="81"/>
      <c r="AC192" s="81"/>
      <c r="AD192" s="81"/>
      <c r="AE192" s="81"/>
      <c r="AF192" s="81"/>
    </row>
    <row r="193" spans="1:32">
      <c r="A193" s="76" t="s">
        <v>927</v>
      </c>
      <c r="B193" s="79">
        <f>B189*2*0.7</f>
        <v>34160</v>
      </c>
      <c r="C193" s="79">
        <f t="shared" ref="C193:I193" si="316">C189*2*0.7</f>
        <v>39060</v>
      </c>
      <c r="D193" s="79">
        <f t="shared" si="316"/>
        <v>43960</v>
      </c>
      <c r="E193" s="79">
        <f t="shared" si="316"/>
        <v>48790</v>
      </c>
      <c r="F193" s="79">
        <f t="shared" si="316"/>
        <v>52710</v>
      </c>
      <c r="G193" s="79">
        <f t="shared" si="316"/>
        <v>56630</v>
      </c>
      <c r="H193" s="79">
        <f t="shared" si="316"/>
        <v>60549.999999999993</v>
      </c>
      <c r="I193" s="79">
        <f t="shared" si="316"/>
        <v>64469.999999999993</v>
      </c>
      <c r="J193" s="80">
        <f t="shared" si="308"/>
        <v>854</v>
      </c>
      <c r="K193" s="80">
        <f t="shared" si="309"/>
        <v>915</v>
      </c>
      <c r="L193" s="80">
        <f t="shared" si="310"/>
        <v>1099</v>
      </c>
      <c r="M193" s="80">
        <f t="shared" si="311"/>
        <v>1268</v>
      </c>
      <c r="N193" s="80">
        <f t="shared" si="312"/>
        <v>1415</v>
      </c>
      <c r="O193" s="80">
        <f t="shared" si="313"/>
        <v>1562</v>
      </c>
      <c r="P193" s="81"/>
      <c r="Q193" s="81"/>
      <c r="R193" s="81"/>
      <c r="S193" s="81"/>
      <c r="T193" s="81"/>
      <c r="U193" s="81"/>
      <c r="V193" s="81"/>
      <c r="W193" s="81"/>
      <c r="X193" s="81"/>
      <c r="Y193" s="81"/>
      <c r="Z193" s="81"/>
      <c r="AA193" s="81"/>
      <c r="AB193" s="81"/>
      <c r="AC193" s="81"/>
      <c r="AD193" s="81"/>
      <c r="AE193" s="81"/>
      <c r="AF193" s="81"/>
    </row>
    <row r="194" spans="1:32">
      <c r="A194" s="76" t="s">
        <v>928</v>
      </c>
      <c r="B194" s="79">
        <f>B189*2*0.75</f>
        <v>36600</v>
      </c>
      <c r="C194" s="79">
        <f t="shared" ref="C194:I194" si="317">C189*2*0.75</f>
        <v>41850</v>
      </c>
      <c r="D194" s="79">
        <f t="shared" si="317"/>
        <v>47100</v>
      </c>
      <c r="E194" s="79">
        <f t="shared" si="317"/>
        <v>52275</v>
      </c>
      <c r="F194" s="79">
        <f t="shared" si="317"/>
        <v>56475</v>
      </c>
      <c r="G194" s="79">
        <f t="shared" si="317"/>
        <v>60675</v>
      </c>
      <c r="H194" s="79">
        <f t="shared" si="317"/>
        <v>64875</v>
      </c>
      <c r="I194" s="79">
        <f t="shared" si="317"/>
        <v>69075</v>
      </c>
      <c r="J194" s="80">
        <f t="shared" si="308"/>
        <v>915</v>
      </c>
      <c r="K194" s="80">
        <f t="shared" si="309"/>
        <v>980</v>
      </c>
      <c r="L194" s="80">
        <f t="shared" si="310"/>
        <v>1177</v>
      </c>
      <c r="M194" s="80">
        <f t="shared" si="311"/>
        <v>1359</v>
      </c>
      <c r="N194" s="80">
        <f t="shared" si="312"/>
        <v>1516</v>
      </c>
      <c r="O194" s="80">
        <f t="shared" si="313"/>
        <v>1674</v>
      </c>
      <c r="P194" s="81"/>
      <c r="Q194" s="81"/>
      <c r="R194" s="81"/>
      <c r="S194" s="81"/>
      <c r="T194" s="81"/>
      <c r="U194" s="81"/>
      <c r="V194" s="81"/>
      <c r="W194" s="81"/>
      <c r="X194" s="81"/>
      <c r="Y194" s="81"/>
      <c r="Z194" s="81"/>
      <c r="AA194" s="81"/>
      <c r="AB194" s="81"/>
      <c r="AC194" s="81"/>
      <c r="AD194" s="81"/>
      <c r="AE194" s="81"/>
      <c r="AF194" s="81"/>
    </row>
    <row r="195" spans="1:32">
      <c r="A195" s="76" t="s">
        <v>929</v>
      </c>
      <c r="B195" s="79">
        <f>B189*2*0.8</f>
        <v>39040</v>
      </c>
      <c r="C195" s="79">
        <f t="shared" ref="C195:I195" si="318">C189*2*0.8</f>
        <v>44640</v>
      </c>
      <c r="D195" s="79">
        <f t="shared" si="318"/>
        <v>50240</v>
      </c>
      <c r="E195" s="79">
        <f t="shared" si="318"/>
        <v>55760</v>
      </c>
      <c r="F195" s="79">
        <f t="shared" si="318"/>
        <v>60240</v>
      </c>
      <c r="G195" s="79">
        <f t="shared" si="318"/>
        <v>64720</v>
      </c>
      <c r="H195" s="79">
        <f t="shared" si="318"/>
        <v>69200</v>
      </c>
      <c r="I195" s="79">
        <f t="shared" si="318"/>
        <v>73680</v>
      </c>
      <c r="J195" s="80">
        <f t="shared" si="308"/>
        <v>976</v>
      </c>
      <c r="K195" s="80">
        <f t="shared" si="309"/>
        <v>1046</v>
      </c>
      <c r="L195" s="80">
        <f t="shared" si="310"/>
        <v>1256</v>
      </c>
      <c r="M195" s="80">
        <f t="shared" si="311"/>
        <v>1450</v>
      </c>
      <c r="N195" s="80">
        <f t="shared" si="312"/>
        <v>1618</v>
      </c>
      <c r="O195" s="80">
        <f t="shared" si="313"/>
        <v>1786</v>
      </c>
      <c r="P195" s="81"/>
      <c r="Q195" s="81"/>
      <c r="R195" s="81"/>
      <c r="S195" s="81"/>
      <c r="T195" s="81"/>
      <c r="U195" s="81"/>
      <c r="V195" s="81"/>
      <c r="W195" s="81"/>
      <c r="X195" s="81"/>
      <c r="Y195" s="81"/>
      <c r="Z195" s="81"/>
      <c r="AA195" s="81"/>
      <c r="AB195" s="81"/>
      <c r="AC195" s="81"/>
      <c r="AD195" s="81"/>
      <c r="AE195" s="81"/>
      <c r="AF195" s="81"/>
    </row>
    <row r="196" spans="1:32">
      <c r="A196" s="76" t="s">
        <v>930</v>
      </c>
      <c r="B196" s="79">
        <f>B189*2*0.9</f>
        <v>43920</v>
      </c>
      <c r="C196" s="79">
        <f t="shared" ref="C196:I196" si="319">C189*2*0.9</f>
        <v>50220</v>
      </c>
      <c r="D196" s="79">
        <f t="shared" si="319"/>
        <v>56520</v>
      </c>
      <c r="E196" s="79">
        <f t="shared" si="319"/>
        <v>62730</v>
      </c>
      <c r="F196" s="79">
        <f t="shared" si="319"/>
        <v>67770</v>
      </c>
      <c r="G196" s="79">
        <f t="shared" si="319"/>
        <v>72810</v>
      </c>
      <c r="H196" s="79">
        <f t="shared" si="319"/>
        <v>77850</v>
      </c>
      <c r="I196" s="79">
        <f t="shared" si="319"/>
        <v>82890</v>
      </c>
      <c r="J196" s="80">
        <f t="shared" si="308"/>
        <v>1098</v>
      </c>
      <c r="K196" s="80">
        <f t="shared" si="309"/>
        <v>1176</v>
      </c>
      <c r="L196" s="80">
        <f t="shared" si="310"/>
        <v>1413</v>
      </c>
      <c r="M196" s="80">
        <f t="shared" si="311"/>
        <v>1631</v>
      </c>
      <c r="N196" s="80">
        <f t="shared" si="312"/>
        <v>1820</v>
      </c>
      <c r="O196" s="80">
        <f t="shared" si="313"/>
        <v>2009</v>
      </c>
      <c r="P196" s="81"/>
      <c r="Q196" s="81"/>
      <c r="R196" s="81"/>
      <c r="S196" s="81"/>
      <c r="T196" s="81"/>
      <c r="U196" s="81"/>
      <c r="V196" s="81"/>
      <c r="W196" s="81"/>
      <c r="X196" s="81"/>
      <c r="Y196" s="81"/>
      <c r="Z196" s="81"/>
      <c r="AA196" s="81"/>
      <c r="AB196" s="81"/>
      <c r="AC196" s="81"/>
      <c r="AD196" s="81"/>
      <c r="AE196" s="81"/>
      <c r="AF196" s="81"/>
    </row>
    <row r="197" spans="1:32">
      <c r="A197" s="76" t="s">
        <v>931</v>
      </c>
      <c r="B197" s="79">
        <f>B189*2</f>
        <v>48800</v>
      </c>
      <c r="C197" s="79">
        <f t="shared" ref="C197:I197" si="320">C189*2</f>
        <v>55800</v>
      </c>
      <c r="D197" s="79">
        <f t="shared" si="320"/>
        <v>62800</v>
      </c>
      <c r="E197" s="79">
        <f t="shared" si="320"/>
        <v>69700</v>
      </c>
      <c r="F197" s="79">
        <f t="shared" si="320"/>
        <v>75300</v>
      </c>
      <c r="G197" s="79">
        <f t="shared" si="320"/>
        <v>80900</v>
      </c>
      <c r="H197" s="79">
        <f t="shared" si="320"/>
        <v>86500</v>
      </c>
      <c r="I197" s="79">
        <f t="shared" si="320"/>
        <v>92100</v>
      </c>
      <c r="J197" s="80">
        <f>J189*2</f>
        <v>1220</v>
      </c>
      <c r="K197" s="80">
        <f t="shared" ref="K197:O197" si="321">K189*2</f>
        <v>1306</v>
      </c>
      <c r="L197" s="80">
        <f t="shared" si="321"/>
        <v>1570</v>
      </c>
      <c r="M197" s="80">
        <f t="shared" si="321"/>
        <v>1812</v>
      </c>
      <c r="N197" s="80">
        <f t="shared" si="321"/>
        <v>2022</v>
      </c>
      <c r="O197" s="80">
        <f t="shared" si="321"/>
        <v>2232</v>
      </c>
      <c r="P197" s="81"/>
      <c r="Q197" s="81"/>
      <c r="R197" s="81"/>
      <c r="S197" s="81"/>
      <c r="T197" s="81"/>
      <c r="U197" s="81"/>
      <c r="V197" s="81"/>
      <c r="W197" s="81"/>
      <c r="X197" s="81"/>
      <c r="Y197" s="81"/>
      <c r="Z197" s="81"/>
      <c r="AA197" s="81"/>
      <c r="AB197" s="81"/>
      <c r="AC197" s="81"/>
      <c r="AD197" s="81"/>
      <c r="AE197" s="81"/>
      <c r="AF197" s="81"/>
    </row>
    <row r="198" spans="1:32">
      <c r="A198" s="76" t="s">
        <v>932</v>
      </c>
      <c r="B198" s="79">
        <f>B189*2*1.1</f>
        <v>53680.000000000007</v>
      </c>
      <c r="C198" s="79">
        <f t="shared" ref="C198:I198" si="322">C189*2*1.1</f>
        <v>61380.000000000007</v>
      </c>
      <c r="D198" s="79">
        <f t="shared" si="322"/>
        <v>69080</v>
      </c>
      <c r="E198" s="79">
        <f t="shared" si="322"/>
        <v>76670</v>
      </c>
      <c r="F198" s="79">
        <f t="shared" si="322"/>
        <v>82830</v>
      </c>
      <c r="G198" s="79">
        <f t="shared" si="322"/>
        <v>88990</v>
      </c>
      <c r="H198" s="79">
        <f t="shared" si="322"/>
        <v>95150.000000000015</v>
      </c>
      <c r="I198" s="79">
        <f t="shared" si="322"/>
        <v>101310.00000000001</v>
      </c>
      <c r="J198" s="80">
        <f t="shared" ref="J198:J206" si="323">TRUNC(B198/12*0.3)</f>
        <v>1342</v>
      </c>
      <c r="K198" s="80">
        <f t="shared" ref="K198:K206" si="324">TRUNC((B198+C198)/2/12*0.3)</f>
        <v>1438</v>
      </c>
      <c r="L198" s="80">
        <f t="shared" ref="L198:L206" si="325">TRUNC((D198)/12*0.3)</f>
        <v>1727</v>
      </c>
      <c r="M198" s="80">
        <f t="shared" ref="M198:M206" si="326">TRUNC(((E198+F198)/2)/12*0.3)</f>
        <v>1993</v>
      </c>
      <c r="N198" s="80">
        <f t="shared" ref="N198:N206" si="327">TRUNC(G198/12*0.3)</f>
        <v>2224</v>
      </c>
      <c r="O198" s="80">
        <f t="shared" ref="O198:O206" si="328">TRUNC(((H198+I198)/2)/12*0.3)</f>
        <v>2455</v>
      </c>
      <c r="P198" s="81"/>
      <c r="Q198" s="81"/>
      <c r="R198" s="81"/>
      <c r="S198" s="81"/>
      <c r="T198" s="81"/>
      <c r="U198" s="81"/>
      <c r="V198" s="81"/>
      <c r="W198" s="81"/>
      <c r="X198" s="81"/>
      <c r="Y198" s="81"/>
      <c r="Z198" s="81"/>
      <c r="AA198" s="81"/>
      <c r="AB198" s="81"/>
      <c r="AC198" s="81"/>
      <c r="AD198" s="81"/>
      <c r="AE198" s="81"/>
      <c r="AF198" s="81"/>
    </row>
    <row r="199" spans="1:32">
      <c r="A199" s="76" t="s">
        <v>933</v>
      </c>
      <c r="B199" s="79">
        <f>B189*2*1.2</f>
        <v>58560</v>
      </c>
      <c r="C199" s="79">
        <f t="shared" ref="C199:I199" si="329">C189*2*1.2</f>
        <v>66960</v>
      </c>
      <c r="D199" s="79">
        <f t="shared" si="329"/>
        <v>75360</v>
      </c>
      <c r="E199" s="79">
        <f t="shared" si="329"/>
        <v>83640</v>
      </c>
      <c r="F199" s="79">
        <f t="shared" si="329"/>
        <v>90360</v>
      </c>
      <c r="G199" s="79">
        <f t="shared" si="329"/>
        <v>97080</v>
      </c>
      <c r="H199" s="79">
        <f t="shared" si="329"/>
        <v>103800</v>
      </c>
      <c r="I199" s="79">
        <f t="shared" si="329"/>
        <v>110520</v>
      </c>
      <c r="J199" s="80">
        <f t="shared" si="323"/>
        <v>1464</v>
      </c>
      <c r="K199" s="80">
        <f t="shared" si="324"/>
        <v>1569</v>
      </c>
      <c r="L199" s="80">
        <f t="shared" si="325"/>
        <v>1884</v>
      </c>
      <c r="M199" s="80">
        <f t="shared" si="326"/>
        <v>2175</v>
      </c>
      <c r="N199" s="80">
        <f t="shared" si="327"/>
        <v>2427</v>
      </c>
      <c r="O199" s="80">
        <f t="shared" si="328"/>
        <v>2679</v>
      </c>
      <c r="P199" s="81"/>
      <c r="Q199" s="81"/>
      <c r="R199" s="81"/>
      <c r="S199" s="81"/>
      <c r="T199" s="81"/>
      <c r="U199" s="81"/>
      <c r="V199" s="81"/>
      <c r="W199" s="81"/>
      <c r="X199" s="81"/>
      <c r="Y199" s="81"/>
      <c r="Z199" s="81"/>
      <c r="AA199" s="81"/>
      <c r="AB199" s="81"/>
      <c r="AC199" s="81"/>
      <c r="AD199" s="81"/>
      <c r="AE199" s="81"/>
      <c r="AF199" s="81"/>
    </row>
    <row r="200" spans="1:32">
      <c r="A200" s="76" t="s">
        <v>934</v>
      </c>
      <c r="B200" s="79">
        <f>B207*2*0.15</f>
        <v>7320</v>
      </c>
      <c r="C200" s="79">
        <f>C207*2*0.15</f>
        <v>8370</v>
      </c>
      <c r="D200" s="79">
        <f>D207*2*0.15</f>
        <v>9420</v>
      </c>
      <c r="E200" s="79">
        <f>E207*2*0.15</f>
        <v>10455</v>
      </c>
      <c r="F200" s="79">
        <f>F207*2*0.15</f>
        <v>11295</v>
      </c>
      <c r="G200" s="79">
        <f t="shared" ref="G200:I200" si="330">G207*2*0.15</f>
        <v>12135</v>
      </c>
      <c r="H200" s="79">
        <f t="shared" si="330"/>
        <v>12975</v>
      </c>
      <c r="I200" s="79">
        <f t="shared" si="330"/>
        <v>13815</v>
      </c>
      <c r="J200" s="80">
        <f t="shared" si="323"/>
        <v>183</v>
      </c>
      <c r="K200" s="80">
        <f t="shared" si="324"/>
        <v>196</v>
      </c>
      <c r="L200" s="80">
        <f t="shared" si="325"/>
        <v>235</v>
      </c>
      <c r="M200" s="80">
        <f t="shared" si="326"/>
        <v>271</v>
      </c>
      <c r="N200" s="80">
        <f t="shared" si="327"/>
        <v>303</v>
      </c>
      <c r="O200" s="80">
        <f t="shared" si="328"/>
        <v>334</v>
      </c>
      <c r="P200" s="81"/>
      <c r="Q200" s="81"/>
      <c r="R200" s="81"/>
      <c r="S200" s="81"/>
      <c r="T200" s="81"/>
      <c r="U200" s="81"/>
      <c r="V200" s="81"/>
      <c r="W200" s="81"/>
      <c r="X200" s="81"/>
      <c r="Y200" s="81"/>
      <c r="Z200" s="81"/>
      <c r="AA200" s="81"/>
      <c r="AB200" s="81"/>
      <c r="AC200" s="81"/>
      <c r="AD200" s="81"/>
      <c r="AE200" s="81"/>
      <c r="AF200" s="81"/>
    </row>
    <row r="201" spans="1:32">
      <c r="A201" s="76" t="s">
        <v>935</v>
      </c>
      <c r="B201" s="79">
        <f>B207*2*0.2</f>
        <v>9760</v>
      </c>
      <c r="C201" s="79">
        <f t="shared" ref="C201:I201" si="331">C207*2*0.2</f>
        <v>11160</v>
      </c>
      <c r="D201" s="79">
        <f t="shared" si="331"/>
        <v>12560</v>
      </c>
      <c r="E201" s="79">
        <f t="shared" si="331"/>
        <v>13940</v>
      </c>
      <c r="F201" s="79">
        <f t="shared" si="331"/>
        <v>15060</v>
      </c>
      <c r="G201" s="79">
        <f t="shared" si="331"/>
        <v>16180</v>
      </c>
      <c r="H201" s="79">
        <f t="shared" si="331"/>
        <v>17300</v>
      </c>
      <c r="I201" s="79">
        <f t="shared" si="331"/>
        <v>18420</v>
      </c>
      <c r="J201" s="80">
        <f t="shared" si="323"/>
        <v>244</v>
      </c>
      <c r="K201" s="80">
        <f t="shared" si="324"/>
        <v>261</v>
      </c>
      <c r="L201" s="80">
        <f t="shared" si="325"/>
        <v>314</v>
      </c>
      <c r="M201" s="80">
        <f t="shared" si="326"/>
        <v>362</v>
      </c>
      <c r="N201" s="80">
        <f t="shared" si="327"/>
        <v>404</v>
      </c>
      <c r="O201" s="80">
        <f t="shared" si="328"/>
        <v>446</v>
      </c>
      <c r="P201" s="81"/>
      <c r="Q201" s="81"/>
      <c r="R201" s="81"/>
      <c r="S201" s="81"/>
      <c r="T201" s="81"/>
      <c r="U201" s="81"/>
      <c r="V201" s="81"/>
      <c r="W201" s="81"/>
      <c r="X201" s="81"/>
      <c r="Y201" s="81"/>
      <c r="Z201" s="81"/>
      <c r="AA201" s="81"/>
      <c r="AB201" s="81"/>
      <c r="AC201" s="81"/>
      <c r="AD201" s="81"/>
      <c r="AE201" s="81"/>
      <c r="AF201" s="81"/>
    </row>
    <row r="202" spans="1:32">
      <c r="A202" s="76" t="s">
        <v>936</v>
      </c>
      <c r="B202" s="79">
        <f>B207*2*0.25</f>
        <v>12200</v>
      </c>
      <c r="C202" s="79">
        <f t="shared" ref="C202:I202" si="332">C207*2*0.25</f>
        <v>13950</v>
      </c>
      <c r="D202" s="79">
        <f t="shared" si="332"/>
        <v>15700</v>
      </c>
      <c r="E202" s="79">
        <f t="shared" si="332"/>
        <v>17425</v>
      </c>
      <c r="F202" s="79">
        <f t="shared" si="332"/>
        <v>18825</v>
      </c>
      <c r="G202" s="79">
        <f t="shared" si="332"/>
        <v>20225</v>
      </c>
      <c r="H202" s="79">
        <f t="shared" si="332"/>
        <v>21625</v>
      </c>
      <c r="I202" s="79">
        <f t="shared" si="332"/>
        <v>23025</v>
      </c>
      <c r="J202" s="80">
        <f t="shared" si="323"/>
        <v>305</v>
      </c>
      <c r="K202" s="80">
        <f t="shared" si="324"/>
        <v>326</v>
      </c>
      <c r="L202" s="80">
        <f t="shared" si="325"/>
        <v>392</v>
      </c>
      <c r="M202" s="80">
        <f t="shared" si="326"/>
        <v>453</v>
      </c>
      <c r="N202" s="80">
        <f t="shared" si="327"/>
        <v>505</v>
      </c>
      <c r="O202" s="80">
        <f t="shared" si="328"/>
        <v>558</v>
      </c>
      <c r="P202" s="81"/>
      <c r="Q202" s="81"/>
      <c r="R202" s="81"/>
      <c r="S202" s="81"/>
      <c r="T202" s="81"/>
      <c r="U202" s="81"/>
      <c r="V202" s="81"/>
      <c r="W202" s="81"/>
      <c r="X202" s="81"/>
      <c r="Y202" s="81"/>
      <c r="Z202" s="81"/>
      <c r="AA202" s="81"/>
      <c r="AB202" s="81"/>
      <c r="AC202" s="81"/>
      <c r="AD202" s="81"/>
      <c r="AE202" s="81"/>
      <c r="AF202" s="81"/>
    </row>
    <row r="203" spans="1:32">
      <c r="A203" s="76" t="s">
        <v>937</v>
      </c>
      <c r="B203" s="79">
        <f>B207*2*0.3</f>
        <v>14640</v>
      </c>
      <c r="C203" s="79">
        <f t="shared" ref="C203:I203" si="333">C207*2*0.3</f>
        <v>16740</v>
      </c>
      <c r="D203" s="79">
        <f t="shared" si="333"/>
        <v>18840</v>
      </c>
      <c r="E203" s="79">
        <f t="shared" si="333"/>
        <v>20910</v>
      </c>
      <c r="F203" s="79">
        <f t="shared" si="333"/>
        <v>22590</v>
      </c>
      <c r="G203" s="79">
        <f t="shared" si="333"/>
        <v>24270</v>
      </c>
      <c r="H203" s="79">
        <f t="shared" si="333"/>
        <v>25950</v>
      </c>
      <c r="I203" s="79">
        <f t="shared" si="333"/>
        <v>27630</v>
      </c>
      <c r="J203" s="80">
        <f t="shared" si="323"/>
        <v>366</v>
      </c>
      <c r="K203" s="80">
        <f t="shared" si="324"/>
        <v>392</v>
      </c>
      <c r="L203" s="80">
        <f t="shared" si="325"/>
        <v>471</v>
      </c>
      <c r="M203" s="80">
        <f t="shared" si="326"/>
        <v>543</v>
      </c>
      <c r="N203" s="80">
        <f t="shared" si="327"/>
        <v>606</v>
      </c>
      <c r="O203" s="80">
        <f t="shared" si="328"/>
        <v>669</v>
      </c>
      <c r="P203" s="81"/>
      <c r="Q203" s="81"/>
      <c r="R203" s="81"/>
      <c r="S203" s="81"/>
      <c r="T203" s="81"/>
      <c r="U203" s="81"/>
      <c r="V203" s="81"/>
      <c r="W203" s="81"/>
      <c r="X203" s="81"/>
      <c r="Y203" s="81"/>
      <c r="Z203" s="81"/>
      <c r="AA203" s="81"/>
      <c r="AB203" s="81"/>
      <c r="AC203" s="81"/>
      <c r="AD203" s="81"/>
      <c r="AE203" s="81"/>
      <c r="AF203" s="81"/>
    </row>
    <row r="204" spans="1:32">
      <c r="A204" s="76" t="s">
        <v>938</v>
      </c>
      <c r="B204" s="79">
        <f>B207*2*0.35</f>
        <v>17080</v>
      </c>
      <c r="C204" s="79">
        <f t="shared" ref="C204:I204" si="334">C207*2*0.35</f>
        <v>19530</v>
      </c>
      <c r="D204" s="79">
        <f t="shared" si="334"/>
        <v>21980</v>
      </c>
      <c r="E204" s="79">
        <f t="shared" si="334"/>
        <v>24395</v>
      </c>
      <c r="F204" s="79">
        <f t="shared" si="334"/>
        <v>26355</v>
      </c>
      <c r="G204" s="79">
        <f t="shared" si="334"/>
        <v>28315</v>
      </c>
      <c r="H204" s="79">
        <f t="shared" si="334"/>
        <v>30274.999999999996</v>
      </c>
      <c r="I204" s="79">
        <f t="shared" si="334"/>
        <v>32234.999999999996</v>
      </c>
      <c r="J204" s="80">
        <f t="shared" si="323"/>
        <v>427</v>
      </c>
      <c r="K204" s="80">
        <f t="shared" si="324"/>
        <v>457</v>
      </c>
      <c r="L204" s="80">
        <f t="shared" si="325"/>
        <v>549</v>
      </c>
      <c r="M204" s="80">
        <f t="shared" si="326"/>
        <v>634</v>
      </c>
      <c r="N204" s="80">
        <f t="shared" si="327"/>
        <v>707</v>
      </c>
      <c r="O204" s="80">
        <f t="shared" si="328"/>
        <v>781</v>
      </c>
      <c r="P204" s="81"/>
      <c r="Q204" s="81"/>
      <c r="R204" s="81"/>
      <c r="S204" s="81"/>
      <c r="T204" s="81"/>
      <c r="U204" s="81"/>
      <c r="V204" s="81"/>
      <c r="W204" s="81"/>
      <c r="X204" s="81"/>
      <c r="Y204" s="81"/>
      <c r="Z204" s="81"/>
      <c r="AA204" s="81"/>
      <c r="AB204" s="81"/>
      <c r="AC204" s="81"/>
      <c r="AD204" s="81"/>
      <c r="AE204" s="81"/>
      <c r="AF204" s="81"/>
    </row>
    <row r="205" spans="1:32">
      <c r="A205" s="76" t="s">
        <v>939</v>
      </c>
      <c r="B205" s="79">
        <f>B207*2*0.4</f>
        <v>19520</v>
      </c>
      <c r="C205" s="79">
        <f t="shared" ref="C205:I205" si="335">C207*2*0.4</f>
        <v>22320</v>
      </c>
      <c r="D205" s="79">
        <f t="shared" si="335"/>
        <v>25120</v>
      </c>
      <c r="E205" s="79">
        <f t="shared" si="335"/>
        <v>27880</v>
      </c>
      <c r="F205" s="79">
        <f t="shared" si="335"/>
        <v>30120</v>
      </c>
      <c r="G205" s="79">
        <f t="shared" si="335"/>
        <v>32360</v>
      </c>
      <c r="H205" s="79">
        <f t="shared" si="335"/>
        <v>34600</v>
      </c>
      <c r="I205" s="79">
        <f t="shared" si="335"/>
        <v>36840</v>
      </c>
      <c r="J205" s="80">
        <f t="shared" si="323"/>
        <v>488</v>
      </c>
      <c r="K205" s="80">
        <f t="shared" si="324"/>
        <v>523</v>
      </c>
      <c r="L205" s="80">
        <f t="shared" si="325"/>
        <v>628</v>
      </c>
      <c r="M205" s="80">
        <f t="shared" si="326"/>
        <v>725</v>
      </c>
      <c r="N205" s="80">
        <f t="shared" si="327"/>
        <v>809</v>
      </c>
      <c r="O205" s="80">
        <f t="shared" si="328"/>
        <v>893</v>
      </c>
      <c r="P205" s="81"/>
      <c r="Q205" s="81"/>
      <c r="R205" s="81"/>
      <c r="S205" s="81"/>
      <c r="T205" s="81"/>
      <c r="U205" s="81"/>
      <c r="V205" s="81"/>
      <c r="W205" s="81"/>
      <c r="X205" s="81"/>
      <c r="Y205" s="81"/>
      <c r="Z205" s="81"/>
      <c r="AA205" s="81"/>
      <c r="AB205" s="81"/>
      <c r="AC205" s="81"/>
      <c r="AD205" s="81"/>
      <c r="AE205" s="81"/>
      <c r="AF205" s="81"/>
    </row>
    <row r="206" spans="1:32">
      <c r="A206" s="76" t="s">
        <v>940</v>
      </c>
      <c r="B206" s="79">
        <f>B207*2*0.45</f>
        <v>21960</v>
      </c>
      <c r="C206" s="79">
        <f t="shared" ref="C206:I206" si="336">C207*2*0.45</f>
        <v>25110</v>
      </c>
      <c r="D206" s="79">
        <f t="shared" si="336"/>
        <v>28260</v>
      </c>
      <c r="E206" s="79">
        <f t="shared" si="336"/>
        <v>31365</v>
      </c>
      <c r="F206" s="79">
        <f t="shared" si="336"/>
        <v>33885</v>
      </c>
      <c r="G206" s="79">
        <f t="shared" si="336"/>
        <v>36405</v>
      </c>
      <c r="H206" s="79">
        <f t="shared" si="336"/>
        <v>38925</v>
      </c>
      <c r="I206" s="79">
        <f t="shared" si="336"/>
        <v>41445</v>
      </c>
      <c r="J206" s="80">
        <f t="shared" si="323"/>
        <v>549</v>
      </c>
      <c r="K206" s="80">
        <f t="shared" si="324"/>
        <v>588</v>
      </c>
      <c r="L206" s="80">
        <f t="shared" si="325"/>
        <v>706</v>
      </c>
      <c r="M206" s="80">
        <f t="shared" si="326"/>
        <v>815</v>
      </c>
      <c r="N206" s="80">
        <f t="shared" si="327"/>
        <v>910</v>
      </c>
      <c r="O206" s="80">
        <f t="shared" si="328"/>
        <v>1004</v>
      </c>
      <c r="P206" s="81"/>
      <c r="Q206" s="81"/>
      <c r="R206" s="81"/>
      <c r="S206" s="81"/>
      <c r="T206" s="81"/>
      <c r="U206" s="81"/>
      <c r="V206" s="81"/>
      <c r="W206" s="81"/>
      <c r="X206" s="81"/>
      <c r="Y206" s="81"/>
      <c r="Z206" s="81"/>
      <c r="AA206" s="81"/>
      <c r="AB206" s="81"/>
      <c r="AC206" s="81"/>
      <c r="AD206" s="81"/>
      <c r="AE206" s="81"/>
      <c r="AF206" s="81"/>
    </row>
    <row r="207" spans="1:32">
      <c r="A207" s="82" t="s">
        <v>941</v>
      </c>
      <c r="B207" s="84">
        <f>'MTSP 50% Income Limits '!B13</f>
        <v>24400</v>
      </c>
      <c r="C207" s="84">
        <f>'MTSP 50% Income Limits '!C13</f>
        <v>27900</v>
      </c>
      <c r="D207" s="84">
        <f>'MTSP 50% Income Limits '!D13</f>
        <v>31400</v>
      </c>
      <c r="E207" s="84">
        <f>'MTSP 50% Income Limits '!E13</f>
        <v>34850</v>
      </c>
      <c r="F207" s="84">
        <f>'MTSP 50% Income Limits '!F13</f>
        <v>37650</v>
      </c>
      <c r="G207" s="84">
        <f>'MTSP 50% Income Limits '!G13</f>
        <v>40450</v>
      </c>
      <c r="H207" s="84">
        <f>'MTSP 50% Income Limits '!H13</f>
        <v>43250</v>
      </c>
      <c r="I207" s="84">
        <f>'MTSP 50% Income Limits '!I13</f>
        <v>46050</v>
      </c>
      <c r="J207" s="83">
        <f>TRUNC(B207/12*0.3)</f>
        <v>610</v>
      </c>
      <c r="K207" s="83">
        <f>TRUNC((B207+C207)/2/12*0.3)</f>
        <v>653</v>
      </c>
      <c r="L207" s="83">
        <f>TRUNC((D207)/12*0.3)</f>
        <v>785</v>
      </c>
      <c r="M207" s="83">
        <f>TRUNC(((E207+F207)/2)/12*0.3)</f>
        <v>906</v>
      </c>
      <c r="N207" s="83">
        <f>TRUNC(G207/12*0.3)</f>
        <v>1011</v>
      </c>
      <c r="O207" s="83">
        <f>TRUNC(((H207+I207)/2)/12*0.3)</f>
        <v>1116</v>
      </c>
      <c r="P207" s="81"/>
      <c r="Q207" s="81"/>
      <c r="R207" s="81"/>
      <c r="S207" s="81"/>
      <c r="T207" s="81"/>
      <c r="U207" s="81"/>
      <c r="V207" s="81"/>
      <c r="W207" s="81"/>
      <c r="X207" s="81"/>
      <c r="Y207" s="81"/>
      <c r="Z207" s="81"/>
      <c r="AA207" s="81"/>
      <c r="AB207" s="81"/>
      <c r="AC207" s="81"/>
      <c r="AD207" s="81"/>
      <c r="AE207" s="81"/>
      <c r="AF207" s="81"/>
    </row>
    <row r="208" spans="1:32">
      <c r="A208" s="76" t="s">
        <v>942</v>
      </c>
      <c r="B208" s="79">
        <f>B207*2*0.55</f>
        <v>26840.000000000004</v>
      </c>
      <c r="C208" s="79">
        <f t="shared" ref="C208:I208" si="337">C207*2*0.55</f>
        <v>30690.000000000004</v>
      </c>
      <c r="D208" s="79">
        <f t="shared" si="337"/>
        <v>34540</v>
      </c>
      <c r="E208" s="79">
        <f t="shared" si="337"/>
        <v>38335</v>
      </c>
      <c r="F208" s="79">
        <f t="shared" si="337"/>
        <v>41415</v>
      </c>
      <c r="G208" s="79">
        <f t="shared" si="337"/>
        <v>44495</v>
      </c>
      <c r="H208" s="79">
        <f t="shared" si="337"/>
        <v>47575.000000000007</v>
      </c>
      <c r="I208" s="79">
        <f t="shared" si="337"/>
        <v>50655.000000000007</v>
      </c>
      <c r="J208" s="80">
        <f t="shared" ref="J208:J214" si="338">TRUNC(B208/12*0.3)</f>
        <v>671</v>
      </c>
      <c r="K208" s="80">
        <f t="shared" ref="K208:K214" si="339">TRUNC((B208+C208)/2/12*0.3)</f>
        <v>719</v>
      </c>
      <c r="L208" s="80">
        <f t="shared" ref="L208:L214" si="340">TRUNC((D208)/12*0.3)</f>
        <v>863</v>
      </c>
      <c r="M208" s="80">
        <f t="shared" ref="M208:M214" si="341">TRUNC(((E208+F208)/2)/12*0.3)</f>
        <v>996</v>
      </c>
      <c r="N208" s="80">
        <f t="shared" ref="N208:N214" si="342">TRUNC(G208/12*0.3)</f>
        <v>1112</v>
      </c>
      <c r="O208" s="80">
        <f t="shared" ref="O208:O214" si="343">TRUNC(((H208+I208)/2)/12*0.3)</f>
        <v>1227</v>
      </c>
      <c r="P208" s="81"/>
      <c r="Q208" s="81"/>
      <c r="R208" s="81"/>
      <c r="S208" s="81"/>
      <c r="T208" s="81"/>
      <c r="U208" s="81"/>
      <c r="V208" s="81"/>
      <c r="W208" s="81"/>
      <c r="X208" s="81"/>
      <c r="Y208" s="81"/>
      <c r="Z208" s="81"/>
      <c r="AA208" s="81"/>
      <c r="AB208" s="81"/>
      <c r="AC208" s="81"/>
      <c r="AD208" s="81"/>
      <c r="AE208" s="81"/>
      <c r="AF208" s="81"/>
    </row>
    <row r="209" spans="1:32">
      <c r="A209" s="76" t="s">
        <v>943</v>
      </c>
      <c r="B209" s="79">
        <f>B207*2*0.6</f>
        <v>29280</v>
      </c>
      <c r="C209" s="79">
        <f t="shared" ref="C209:I209" si="344">C207*2*0.6</f>
        <v>33480</v>
      </c>
      <c r="D209" s="79">
        <f t="shared" si="344"/>
        <v>37680</v>
      </c>
      <c r="E209" s="79">
        <f t="shared" si="344"/>
        <v>41820</v>
      </c>
      <c r="F209" s="79">
        <f t="shared" si="344"/>
        <v>45180</v>
      </c>
      <c r="G209" s="79">
        <f t="shared" si="344"/>
        <v>48540</v>
      </c>
      <c r="H209" s="79">
        <f t="shared" si="344"/>
        <v>51900</v>
      </c>
      <c r="I209" s="79">
        <f t="shared" si="344"/>
        <v>55260</v>
      </c>
      <c r="J209" s="80">
        <f t="shared" si="338"/>
        <v>732</v>
      </c>
      <c r="K209" s="80">
        <f t="shared" si="339"/>
        <v>784</v>
      </c>
      <c r="L209" s="80">
        <f t="shared" si="340"/>
        <v>942</v>
      </c>
      <c r="M209" s="80">
        <f t="shared" si="341"/>
        <v>1087</v>
      </c>
      <c r="N209" s="80">
        <f t="shared" si="342"/>
        <v>1213</v>
      </c>
      <c r="O209" s="80">
        <f t="shared" si="343"/>
        <v>1339</v>
      </c>
      <c r="P209" s="81"/>
      <c r="Q209" s="81"/>
      <c r="R209" s="81"/>
      <c r="S209" s="81"/>
      <c r="T209" s="81"/>
      <c r="U209" s="81"/>
      <c r="V209" s="81"/>
      <c r="W209" s="81"/>
      <c r="X209" s="81"/>
      <c r="Y209" s="81"/>
      <c r="Z209" s="81"/>
      <c r="AA209" s="81"/>
      <c r="AB209" s="81"/>
      <c r="AC209" s="81"/>
      <c r="AD209" s="81"/>
      <c r="AE209" s="81"/>
      <c r="AF209" s="81"/>
    </row>
    <row r="210" spans="1:32">
      <c r="A210" s="76" t="s">
        <v>944</v>
      </c>
      <c r="B210" s="79">
        <f>B207*2*0.65</f>
        <v>31720</v>
      </c>
      <c r="C210" s="79">
        <f t="shared" ref="C210:I210" si="345">C207*2*0.65</f>
        <v>36270</v>
      </c>
      <c r="D210" s="79">
        <f t="shared" si="345"/>
        <v>40820</v>
      </c>
      <c r="E210" s="79">
        <f t="shared" si="345"/>
        <v>45305</v>
      </c>
      <c r="F210" s="79">
        <f t="shared" si="345"/>
        <v>48945</v>
      </c>
      <c r="G210" s="79">
        <f t="shared" si="345"/>
        <v>52585</v>
      </c>
      <c r="H210" s="79">
        <f t="shared" si="345"/>
        <v>56225</v>
      </c>
      <c r="I210" s="79">
        <f t="shared" si="345"/>
        <v>59865</v>
      </c>
      <c r="J210" s="80">
        <f t="shared" si="338"/>
        <v>793</v>
      </c>
      <c r="K210" s="80">
        <f t="shared" si="339"/>
        <v>849</v>
      </c>
      <c r="L210" s="80">
        <f t="shared" si="340"/>
        <v>1020</v>
      </c>
      <c r="M210" s="80">
        <f t="shared" si="341"/>
        <v>1178</v>
      </c>
      <c r="N210" s="80">
        <f t="shared" si="342"/>
        <v>1314</v>
      </c>
      <c r="O210" s="80">
        <f t="shared" si="343"/>
        <v>1451</v>
      </c>
      <c r="P210" s="81"/>
      <c r="Q210" s="81"/>
      <c r="R210" s="81"/>
      <c r="S210" s="81"/>
      <c r="T210" s="81"/>
      <c r="U210" s="81"/>
      <c r="V210" s="81"/>
      <c r="W210" s="81"/>
      <c r="X210" s="81"/>
      <c r="Y210" s="81"/>
      <c r="Z210" s="81"/>
      <c r="AA210" s="81"/>
      <c r="AB210" s="81"/>
      <c r="AC210" s="81"/>
      <c r="AD210" s="81"/>
      <c r="AE210" s="81"/>
      <c r="AF210" s="81"/>
    </row>
    <row r="211" spans="1:32">
      <c r="A211" s="76" t="s">
        <v>945</v>
      </c>
      <c r="B211" s="79">
        <f>B207*2*0.7</f>
        <v>34160</v>
      </c>
      <c r="C211" s="79">
        <f t="shared" ref="C211:I211" si="346">C207*2*0.7</f>
        <v>39060</v>
      </c>
      <c r="D211" s="79">
        <f t="shared" si="346"/>
        <v>43960</v>
      </c>
      <c r="E211" s="79">
        <f t="shared" si="346"/>
        <v>48790</v>
      </c>
      <c r="F211" s="79">
        <f t="shared" si="346"/>
        <v>52710</v>
      </c>
      <c r="G211" s="79">
        <f t="shared" si="346"/>
        <v>56630</v>
      </c>
      <c r="H211" s="79">
        <f t="shared" si="346"/>
        <v>60549.999999999993</v>
      </c>
      <c r="I211" s="79">
        <f t="shared" si="346"/>
        <v>64469.999999999993</v>
      </c>
      <c r="J211" s="80">
        <f t="shared" si="338"/>
        <v>854</v>
      </c>
      <c r="K211" s="80">
        <f t="shared" si="339"/>
        <v>915</v>
      </c>
      <c r="L211" s="80">
        <f t="shared" si="340"/>
        <v>1099</v>
      </c>
      <c r="M211" s="80">
        <f t="shared" si="341"/>
        <v>1268</v>
      </c>
      <c r="N211" s="80">
        <f t="shared" si="342"/>
        <v>1415</v>
      </c>
      <c r="O211" s="80">
        <f t="shared" si="343"/>
        <v>1562</v>
      </c>
      <c r="P211" s="81"/>
      <c r="Q211" s="81"/>
      <c r="R211" s="81"/>
      <c r="S211" s="81"/>
      <c r="T211" s="81"/>
      <c r="U211" s="81"/>
      <c r="V211" s="81"/>
      <c r="W211" s="81"/>
      <c r="X211" s="81"/>
      <c r="Y211" s="81"/>
      <c r="Z211" s="81"/>
      <c r="AA211" s="81"/>
      <c r="AB211" s="81"/>
      <c r="AC211" s="81"/>
      <c r="AD211" s="81"/>
      <c r="AE211" s="81"/>
      <c r="AF211" s="81"/>
    </row>
    <row r="212" spans="1:32">
      <c r="A212" s="76" t="s">
        <v>946</v>
      </c>
      <c r="B212" s="79">
        <f>B207*2*0.75</f>
        <v>36600</v>
      </c>
      <c r="C212" s="79">
        <f t="shared" ref="C212:I212" si="347">C207*2*0.75</f>
        <v>41850</v>
      </c>
      <c r="D212" s="79">
        <f t="shared" si="347"/>
        <v>47100</v>
      </c>
      <c r="E212" s="79">
        <f t="shared" si="347"/>
        <v>52275</v>
      </c>
      <c r="F212" s="79">
        <f t="shared" si="347"/>
        <v>56475</v>
      </c>
      <c r="G212" s="79">
        <f t="shared" si="347"/>
        <v>60675</v>
      </c>
      <c r="H212" s="79">
        <f t="shared" si="347"/>
        <v>64875</v>
      </c>
      <c r="I212" s="79">
        <f t="shared" si="347"/>
        <v>69075</v>
      </c>
      <c r="J212" s="80">
        <f t="shared" si="338"/>
        <v>915</v>
      </c>
      <c r="K212" s="80">
        <f t="shared" si="339"/>
        <v>980</v>
      </c>
      <c r="L212" s="80">
        <f t="shared" si="340"/>
        <v>1177</v>
      </c>
      <c r="M212" s="80">
        <f t="shared" si="341"/>
        <v>1359</v>
      </c>
      <c r="N212" s="80">
        <f t="shared" si="342"/>
        <v>1516</v>
      </c>
      <c r="O212" s="80">
        <f t="shared" si="343"/>
        <v>1674</v>
      </c>
      <c r="P212" s="81"/>
      <c r="Q212" s="81"/>
      <c r="R212" s="81"/>
      <c r="S212" s="81"/>
      <c r="T212" s="81"/>
      <c r="U212" s="81"/>
      <c r="V212" s="81"/>
      <c r="W212" s="81"/>
      <c r="X212" s="81"/>
      <c r="Y212" s="81"/>
      <c r="Z212" s="81"/>
      <c r="AA212" s="81"/>
      <c r="AB212" s="81"/>
      <c r="AC212" s="81"/>
      <c r="AD212" s="81"/>
      <c r="AE212" s="81"/>
      <c r="AF212" s="81"/>
    </row>
    <row r="213" spans="1:32">
      <c r="A213" s="76" t="s">
        <v>947</v>
      </c>
      <c r="B213" s="79">
        <f>B207*2*0.8</f>
        <v>39040</v>
      </c>
      <c r="C213" s="79">
        <f t="shared" ref="C213:I213" si="348">C207*2*0.8</f>
        <v>44640</v>
      </c>
      <c r="D213" s="79">
        <f t="shared" si="348"/>
        <v>50240</v>
      </c>
      <c r="E213" s="79">
        <f t="shared" si="348"/>
        <v>55760</v>
      </c>
      <c r="F213" s="79">
        <f t="shared" si="348"/>
        <v>60240</v>
      </c>
      <c r="G213" s="79">
        <f t="shared" si="348"/>
        <v>64720</v>
      </c>
      <c r="H213" s="79">
        <f t="shared" si="348"/>
        <v>69200</v>
      </c>
      <c r="I213" s="79">
        <f t="shared" si="348"/>
        <v>73680</v>
      </c>
      <c r="J213" s="80">
        <f t="shared" si="338"/>
        <v>976</v>
      </c>
      <c r="K213" s="80">
        <f t="shared" si="339"/>
        <v>1046</v>
      </c>
      <c r="L213" s="80">
        <f t="shared" si="340"/>
        <v>1256</v>
      </c>
      <c r="M213" s="80">
        <f t="shared" si="341"/>
        <v>1450</v>
      </c>
      <c r="N213" s="80">
        <f t="shared" si="342"/>
        <v>1618</v>
      </c>
      <c r="O213" s="80">
        <f t="shared" si="343"/>
        <v>1786</v>
      </c>
      <c r="P213" s="81"/>
      <c r="Q213" s="81"/>
      <c r="R213" s="81"/>
      <c r="S213" s="81"/>
      <c r="T213" s="81"/>
      <c r="U213" s="81"/>
      <c r="V213" s="81"/>
      <c r="W213" s="81"/>
      <c r="X213" s="81"/>
      <c r="Y213" s="81"/>
      <c r="Z213" s="81"/>
      <c r="AA213" s="81"/>
      <c r="AB213" s="81"/>
      <c r="AC213" s="81"/>
      <c r="AD213" s="81"/>
      <c r="AE213" s="81"/>
      <c r="AF213" s="81"/>
    </row>
    <row r="214" spans="1:32">
      <c r="A214" s="76" t="s">
        <v>948</v>
      </c>
      <c r="B214" s="79">
        <f>B207*2*0.9</f>
        <v>43920</v>
      </c>
      <c r="C214" s="79">
        <f t="shared" ref="C214:I214" si="349">C207*2*0.9</f>
        <v>50220</v>
      </c>
      <c r="D214" s="79">
        <f t="shared" si="349"/>
        <v>56520</v>
      </c>
      <c r="E214" s="79">
        <f t="shared" si="349"/>
        <v>62730</v>
      </c>
      <c r="F214" s="79">
        <f t="shared" si="349"/>
        <v>67770</v>
      </c>
      <c r="G214" s="79">
        <f t="shared" si="349"/>
        <v>72810</v>
      </c>
      <c r="H214" s="79">
        <f t="shared" si="349"/>
        <v>77850</v>
      </c>
      <c r="I214" s="79">
        <f t="shared" si="349"/>
        <v>82890</v>
      </c>
      <c r="J214" s="80">
        <f t="shared" si="338"/>
        <v>1098</v>
      </c>
      <c r="K214" s="80">
        <f t="shared" si="339"/>
        <v>1176</v>
      </c>
      <c r="L214" s="80">
        <f t="shared" si="340"/>
        <v>1413</v>
      </c>
      <c r="M214" s="80">
        <f t="shared" si="341"/>
        <v>1631</v>
      </c>
      <c r="N214" s="80">
        <f t="shared" si="342"/>
        <v>1820</v>
      </c>
      <c r="O214" s="80">
        <f t="shared" si="343"/>
        <v>2009</v>
      </c>
      <c r="P214" s="81"/>
      <c r="Q214" s="81"/>
      <c r="R214" s="81"/>
      <c r="S214" s="81"/>
      <c r="T214" s="81"/>
      <c r="U214" s="81"/>
      <c r="V214" s="81"/>
      <c r="W214" s="81"/>
      <c r="X214" s="81"/>
      <c r="Y214" s="81"/>
      <c r="Z214" s="81"/>
      <c r="AA214" s="81"/>
      <c r="AB214" s="81"/>
      <c r="AC214" s="81"/>
      <c r="AD214" s="81"/>
      <c r="AE214" s="81"/>
      <c r="AF214" s="81"/>
    </row>
    <row r="215" spans="1:32">
      <c r="A215" s="76" t="s">
        <v>949</v>
      </c>
      <c r="B215" s="79">
        <f>B207*2</f>
        <v>48800</v>
      </c>
      <c r="C215" s="79">
        <f t="shared" ref="C215:I215" si="350">C207*2</f>
        <v>55800</v>
      </c>
      <c r="D215" s="79">
        <f t="shared" si="350"/>
        <v>62800</v>
      </c>
      <c r="E215" s="79">
        <f t="shared" si="350"/>
        <v>69700</v>
      </c>
      <c r="F215" s="79">
        <f t="shared" si="350"/>
        <v>75300</v>
      </c>
      <c r="G215" s="79">
        <f t="shared" si="350"/>
        <v>80900</v>
      </c>
      <c r="H215" s="79">
        <f t="shared" si="350"/>
        <v>86500</v>
      </c>
      <c r="I215" s="79">
        <f t="shared" si="350"/>
        <v>92100</v>
      </c>
      <c r="J215" s="80">
        <f>J207*2</f>
        <v>1220</v>
      </c>
      <c r="K215" s="80">
        <f t="shared" ref="K215:O215" si="351">K207*2</f>
        <v>1306</v>
      </c>
      <c r="L215" s="80">
        <f t="shared" si="351"/>
        <v>1570</v>
      </c>
      <c r="M215" s="80">
        <f t="shared" si="351"/>
        <v>1812</v>
      </c>
      <c r="N215" s="80">
        <f t="shared" si="351"/>
        <v>2022</v>
      </c>
      <c r="O215" s="80">
        <f t="shared" si="351"/>
        <v>2232</v>
      </c>
      <c r="P215" s="81"/>
      <c r="Q215" s="81"/>
      <c r="R215" s="81"/>
      <c r="S215" s="81"/>
      <c r="T215" s="81"/>
      <c r="U215" s="81"/>
      <c r="V215" s="81"/>
      <c r="W215" s="81"/>
      <c r="X215" s="81"/>
      <c r="Y215" s="81"/>
      <c r="Z215" s="81"/>
      <c r="AA215" s="81"/>
      <c r="AB215" s="81"/>
      <c r="AC215" s="81"/>
      <c r="AD215" s="81"/>
      <c r="AE215" s="81"/>
      <c r="AF215" s="81"/>
    </row>
    <row r="216" spans="1:32">
      <c r="A216" s="76" t="s">
        <v>950</v>
      </c>
      <c r="B216" s="79">
        <f>B207*2*1.1</f>
        <v>53680.000000000007</v>
      </c>
      <c r="C216" s="79">
        <f t="shared" ref="C216:I216" si="352">C207*2*1.1</f>
        <v>61380.000000000007</v>
      </c>
      <c r="D216" s="79">
        <f t="shared" si="352"/>
        <v>69080</v>
      </c>
      <c r="E216" s="79">
        <f t="shared" si="352"/>
        <v>76670</v>
      </c>
      <c r="F216" s="79">
        <f t="shared" si="352"/>
        <v>82830</v>
      </c>
      <c r="G216" s="79">
        <f t="shared" si="352"/>
        <v>88990</v>
      </c>
      <c r="H216" s="79">
        <f t="shared" si="352"/>
        <v>95150.000000000015</v>
      </c>
      <c r="I216" s="79">
        <f t="shared" si="352"/>
        <v>101310.00000000001</v>
      </c>
      <c r="J216" s="80">
        <f t="shared" ref="J216:J224" si="353">TRUNC(B216/12*0.3)</f>
        <v>1342</v>
      </c>
      <c r="K216" s="80">
        <f t="shared" ref="K216:K224" si="354">TRUNC((B216+C216)/2/12*0.3)</f>
        <v>1438</v>
      </c>
      <c r="L216" s="80">
        <f t="shared" ref="L216:L224" si="355">TRUNC((D216)/12*0.3)</f>
        <v>1727</v>
      </c>
      <c r="M216" s="80">
        <f t="shared" ref="M216:M224" si="356">TRUNC(((E216+F216)/2)/12*0.3)</f>
        <v>1993</v>
      </c>
      <c r="N216" s="80">
        <f t="shared" ref="N216:N224" si="357">TRUNC(G216/12*0.3)</f>
        <v>2224</v>
      </c>
      <c r="O216" s="80">
        <f t="shared" ref="O216:O224" si="358">TRUNC(((H216+I216)/2)/12*0.3)</f>
        <v>2455</v>
      </c>
      <c r="P216" s="81"/>
      <c r="Q216" s="81"/>
      <c r="R216" s="81"/>
      <c r="S216" s="81"/>
      <c r="T216" s="81"/>
      <c r="U216" s="81"/>
      <c r="V216" s="81"/>
      <c r="W216" s="81"/>
      <c r="X216" s="81"/>
      <c r="Y216" s="81"/>
      <c r="Z216" s="81"/>
      <c r="AA216" s="81"/>
      <c r="AB216" s="81"/>
      <c r="AC216" s="81"/>
      <c r="AD216" s="81"/>
      <c r="AE216" s="81"/>
      <c r="AF216" s="81"/>
    </row>
    <row r="217" spans="1:32">
      <c r="A217" s="76" t="s">
        <v>951</v>
      </c>
      <c r="B217" s="79">
        <f>B207*2*1.2</f>
        <v>58560</v>
      </c>
      <c r="C217" s="79">
        <f t="shared" ref="C217:I217" si="359">C207*2*1.2</f>
        <v>66960</v>
      </c>
      <c r="D217" s="79">
        <f t="shared" si="359"/>
        <v>75360</v>
      </c>
      <c r="E217" s="79">
        <f t="shared" si="359"/>
        <v>83640</v>
      </c>
      <c r="F217" s="79">
        <f t="shared" si="359"/>
        <v>90360</v>
      </c>
      <c r="G217" s="79">
        <f t="shared" si="359"/>
        <v>97080</v>
      </c>
      <c r="H217" s="79">
        <f t="shared" si="359"/>
        <v>103800</v>
      </c>
      <c r="I217" s="79">
        <f t="shared" si="359"/>
        <v>110520</v>
      </c>
      <c r="J217" s="80">
        <f t="shared" si="353"/>
        <v>1464</v>
      </c>
      <c r="K217" s="80">
        <f t="shared" si="354"/>
        <v>1569</v>
      </c>
      <c r="L217" s="80">
        <f t="shared" si="355"/>
        <v>1884</v>
      </c>
      <c r="M217" s="80">
        <f t="shared" si="356"/>
        <v>2175</v>
      </c>
      <c r="N217" s="80">
        <f t="shared" si="357"/>
        <v>2427</v>
      </c>
      <c r="O217" s="80">
        <f t="shared" si="358"/>
        <v>2679</v>
      </c>
      <c r="P217" s="81"/>
      <c r="Q217" s="81"/>
      <c r="R217" s="81"/>
      <c r="S217" s="81"/>
      <c r="T217" s="81"/>
      <c r="U217" s="81"/>
      <c r="V217" s="81"/>
      <c r="W217" s="81"/>
      <c r="X217" s="81"/>
      <c r="Y217" s="81"/>
      <c r="Z217" s="81"/>
      <c r="AA217" s="81"/>
      <c r="AB217" s="81"/>
      <c r="AC217" s="81"/>
      <c r="AD217" s="81"/>
      <c r="AE217" s="81"/>
      <c r="AF217" s="81"/>
    </row>
    <row r="218" spans="1:32">
      <c r="A218" s="76" t="s">
        <v>952</v>
      </c>
      <c r="B218" s="79">
        <f>B225*2*0.15</f>
        <v>7320</v>
      </c>
      <c r="C218" s="79">
        <f>C225*2*0.15</f>
        <v>8370</v>
      </c>
      <c r="D218" s="79">
        <f>D225*2*0.15</f>
        <v>9420</v>
      </c>
      <c r="E218" s="79">
        <f>E225*2*0.15</f>
        <v>10455</v>
      </c>
      <c r="F218" s="79">
        <f>F225*2*0.15</f>
        <v>11295</v>
      </c>
      <c r="G218" s="79">
        <f t="shared" ref="G218:I218" si="360">G225*2*0.15</f>
        <v>12135</v>
      </c>
      <c r="H218" s="79">
        <f t="shared" si="360"/>
        <v>12975</v>
      </c>
      <c r="I218" s="79">
        <f t="shared" si="360"/>
        <v>13815</v>
      </c>
      <c r="J218" s="80">
        <f t="shared" si="353"/>
        <v>183</v>
      </c>
      <c r="K218" s="80">
        <f t="shared" si="354"/>
        <v>196</v>
      </c>
      <c r="L218" s="80">
        <f t="shared" si="355"/>
        <v>235</v>
      </c>
      <c r="M218" s="80">
        <f t="shared" si="356"/>
        <v>271</v>
      </c>
      <c r="N218" s="80">
        <f t="shared" si="357"/>
        <v>303</v>
      </c>
      <c r="O218" s="80">
        <f t="shared" si="358"/>
        <v>334</v>
      </c>
      <c r="P218" s="81"/>
      <c r="Q218" s="81"/>
      <c r="R218" s="81"/>
      <c r="S218" s="81"/>
      <c r="T218" s="81"/>
      <c r="U218" s="81"/>
      <c r="V218" s="81"/>
      <c r="W218" s="81"/>
      <c r="X218" s="81"/>
      <c r="Y218" s="81"/>
      <c r="Z218" s="81"/>
      <c r="AA218" s="81"/>
      <c r="AB218" s="81"/>
      <c r="AC218" s="81"/>
      <c r="AD218" s="81"/>
      <c r="AE218" s="81"/>
      <c r="AF218" s="81"/>
    </row>
    <row r="219" spans="1:32">
      <c r="A219" s="76" t="s">
        <v>953</v>
      </c>
      <c r="B219" s="79">
        <f>B225*2*0.2</f>
        <v>9760</v>
      </c>
      <c r="C219" s="79">
        <f t="shared" ref="C219:I219" si="361">C225*2*0.2</f>
        <v>11160</v>
      </c>
      <c r="D219" s="79">
        <f t="shared" si="361"/>
        <v>12560</v>
      </c>
      <c r="E219" s="79">
        <f t="shared" si="361"/>
        <v>13940</v>
      </c>
      <c r="F219" s="79">
        <f t="shared" si="361"/>
        <v>15060</v>
      </c>
      <c r="G219" s="79">
        <f t="shared" si="361"/>
        <v>16180</v>
      </c>
      <c r="H219" s="79">
        <f t="shared" si="361"/>
        <v>17300</v>
      </c>
      <c r="I219" s="79">
        <f t="shared" si="361"/>
        <v>18420</v>
      </c>
      <c r="J219" s="80">
        <f t="shared" si="353"/>
        <v>244</v>
      </c>
      <c r="K219" s="80">
        <f t="shared" si="354"/>
        <v>261</v>
      </c>
      <c r="L219" s="80">
        <f t="shared" si="355"/>
        <v>314</v>
      </c>
      <c r="M219" s="80">
        <f t="shared" si="356"/>
        <v>362</v>
      </c>
      <c r="N219" s="80">
        <f t="shared" si="357"/>
        <v>404</v>
      </c>
      <c r="O219" s="80">
        <f t="shared" si="358"/>
        <v>446</v>
      </c>
      <c r="P219" s="81"/>
      <c r="Q219" s="81"/>
      <c r="R219" s="81"/>
      <c r="S219" s="81"/>
      <c r="T219" s="81"/>
      <c r="U219" s="81"/>
      <c r="V219" s="81"/>
      <c r="W219" s="81"/>
      <c r="X219" s="81"/>
      <c r="Y219" s="81"/>
      <c r="Z219" s="81"/>
      <c r="AA219" s="81"/>
      <c r="AB219" s="81"/>
      <c r="AC219" s="81"/>
      <c r="AD219" s="81"/>
      <c r="AE219" s="81"/>
      <c r="AF219" s="81"/>
    </row>
    <row r="220" spans="1:32">
      <c r="A220" s="76" t="s">
        <v>954</v>
      </c>
      <c r="B220" s="79">
        <f>B225*2*0.25</f>
        <v>12200</v>
      </c>
      <c r="C220" s="79">
        <f t="shared" ref="C220:I220" si="362">C225*2*0.25</f>
        <v>13950</v>
      </c>
      <c r="D220" s="79">
        <f t="shared" si="362"/>
        <v>15700</v>
      </c>
      <c r="E220" s="79">
        <f t="shared" si="362"/>
        <v>17425</v>
      </c>
      <c r="F220" s="79">
        <f t="shared" si="362"/>
        <v>18825</v>
      </c>
      <c r="G220" s="79">
        <f t="shared" si="362"/>
        <v>20225</v>
      </c>
      <c r="H220" s="79">
        <f t="shared" si="362"/>
        <v>21625</v>
      </c>
      <c r="I220" s="79">
        <f t="shared" si="362"/>
        <v>23025</v>
      </c>
      <c r="J220" s="80">
        <f t="shared" si="353"/>
        <v>305</v>
      </c>
      <c r="K220" s="80">
        <f t="shared" si="354"/>
        <v>326</v>
      </c>
      <c r="L220" s="80">
        <f t="shared" si="355"/>
        <v>392</v>
      </c>
      <c r="M220" s="80">
        <f t="shared" si="356"/>
        <v>453</v>
      </c>
      <c r="N220" s="80">
        <f t="shared" si="357"/>
        <v>505</v>
      </c>
      <c r="O220" s="80">
        <f t="shared" si="358"/>
        <v>558</v>
      </c>
      <c r="P220" s="81"/>
      <c r="Q220" s="81"/>
      <c r="R220" s="81"/>
      <c r="S220" s="81"/>
      <c r="T220" s="81"/>
      <c r="U220" s="81"/>
      <c r="V220" s="81"/>
      <c r="W220" s="81"/>
      <c r="X220" s="81"/>
      <c r="Y220" s="81"/>
      <c r="Z220" s="81"/>
      <c r="AA220" s="81"/>
      <c r="AB220" s="81"/>
      <c r="AC220" s="81"/>
      <c r="AD220" s="81"/>
      <c r="AE220" s="81"/>
      <c r="AF220" s="81"/>
    </row>
    <row r="221" spans="1:32">
      <c r="A221" s="76" t="s">
        <v>955</v>
      </c>
      <c r="B221" s="79">
        <f>B225*2*0.3</f>
        <v>14640</v>
      </c>
      <c r="C221" s="79">
        <f t="shared" ref="C221:I221" si="363">C225*2*0.3</f>
        <v>16740</v>
      </c>
      <c r="D221" s="79">
        <f t="shared" si="363"/>
        <v>18840</v>
      </c>
      <c r="E221" s="79">
        <f t="shared" si="363"/>
        <v>20910</v>
      </c>
      <c r="F221" s="79">
        <f t="shared" si="363"/>
        <v>22590</v>
      </c>
      <c r="G221" s="79">
        <f t="shared" si="363"/>
        <v>24270</v>
      </c>
      <c r="H221" s="79">
        <f t="shared" si="363"/>
        <v>25950</v>
      </c>
      <c r="I221" s="79">
        <f t="shared" si="363"/>
        <v>27630</v>
      </c>
      <c r="J221" s="80">
        <f t="shared" si="353"/>
        <v>366</v>
      </c>
      <c r="K221" s="80">
        <f t="shared" si="354"/>
        <v>392</v>
      </c>
      <c r="L221" s="80">
        <f t="shared" si="355"/>
        <v>471</v>
      </c>
      <c r="M221" s="80">
        <f t="shared" si="356"/>
        <v>543</v>
      </c>
      <c r="N221" s="80">
        <f t="shared" si="357"/>
        <v>606</v>
      </c>
      <c r="O221" s="80">
        <f t="shared" si="358"/>
        <v>669</v>
      </c>
      <c r="P221" s="81"/>
      <c r="Q221" s="81"/>
      <c r="R221" s="81"/>
      <c r="S221" s="81"/>
      <c r="T221" s="81"/>
      <c r="U221" s="81"/>
      <c r="V221" s="81"/>
      <c r="W221" s="81"/>
      <c r="X221" s="81"/>
      <c r="Y221" s="81"/>
      <c r="Z221" s="81"/>
      <c r="AA221" s="81"/>
      <c r="AB221" s="81"/>
      <c r="AC221" s="81"/>
      <c r="AD221" s="81"/>
      <c r="AE221" s="81"/>
      <c r="AF221" s="81"/>
    </row>
    <row r="222" spans="1:32">
      <c r="A222" s="76" t="s">
        <v>956</v>
      </c>
      <c r="B222" s="79">
        <f>B225*2*0.35</f>
        <v>17080</v>
      </c>
      <c r="C222" s="79">
        <f t="shared" ref="C222:I222" si="364">C225*2*0.35</f>
        <v>19530</v>
      </c>
      <c r="D222" s="79">
        <f t="shared" si="364"/>
        <v>21980</v>
      </c>
      <c r="E222" s="79">
        <f t="shared" si="364"/>
        <v>24395</v>
      </c>
      <c r="F222" s="79">
        <f t="shared" si="364"/>
        <v>26355</v>
      </c>
      <c r="G222" s="79">
        <f t="shared" si="364"/>
        <v>28315</v>
      </c>
      <c r="H222" s="79">
        <f t="shared" si="364"/>
        <v>30274.999999999996</v>
      </c>
      <c r="I222" s="79">
        <f t="shared" si="364"/>
        <v>32234.999999999996</v>
      </c>
      <c r="J222" s="80">
        <f t="shared" si="353"/>
        <v>427</v>
      </c>
      <c r="K222" s="80">
        <f t="shared" si="354"/>
        <v>457</v>
      </c>
      <c r="L222" s="80">
        <f t="shared" si="355"/>
        <v>549</v>
      </c>
      <c r="M222" s="80">
        <f t="shared" si="356"/>
        <v>634</v>
      </c>
      <c r="N222" s="80">
        <f t="shared" si="357"/>
        <v>707</v>
      </c>
      <c r="O222" s="80">
        <f t="shared" si="358"/>
        <v>781</v>
      </c>
      <c r="P222" s="81"/>
      <c r="Q222" s="81"/>
      <c r="R222" s="81"/>
      <c r="S222" s="81"/>
      <c r="T222" s="81"/>
      <c r="U222" s="81"/>
      <c r="V222" s="81"/>
      <c r="W222" s="81"/>
      <c r="X222" s="81"/>
      <c r="Y222" s="81"/>
      <c r="Z222" s="81"/>
      <c r="AA222" s="81"/>
      <c r="AB222" s="81"/>
      <c r="AC222" s="81"/>
      <c r="AD222" s="81"/>
      <c r="AE222" s="81"/>
      <c r="AF222" s="81"/>
    </row>
    <row r="223" spans="1:32">
      <c r="A223" s="76" t="s">
        <v>957</v>
      </c>
      <c r="B223" s="79">
        <f>B225*2*0.4</f>
        <v>19520</v>
      </c>
      <c r="C223" s="79">
        <f t="shared" ref="C223:I223" si="365">C225*2*0.4</f>
        <v>22320</v>
      </c>
      <c r="D223" s="79">
        <f t="shared" si="365"/>
        <v>25120</v>
      </c>
      <c r="E223" s="79">
        <f t="shared" si="365"/>
        <v>27880</v>
      </c>
      <c r="F223" s="79">
        <f t="shared" si="365"/>
        <v>30120</v>
      </c>
      <c r="G223" s="79">
        <f t="shared" si="365"/>
        <v>32360</v>
      </c>
      <c r="H223" s="79">
        <f t="shared" si="365"/>
        <v>34600</v>
      </c>
      <c r="I223" s="79">
        <f t="shared" si="365"/>
        <v>36840</v>
      </c>
      <c r="J223" s="80">
        <f t="shared" si="353"/>
        <v>488</v>
      </c>
      <c r="K223" s="80">
        <f t="shared" si="354"/>
        <v>523</v>
      </c>
      <c r="L223" s="80">
        <f t="shared" si="355"/>
        <v>628</v>
      </c>
      <c r="M223" s="80">
        <f t="shared" si="356"/>
        <v>725</v>
      </c>
      <c r="N223" s="80">
        <f t="shared" si="357"/>
        <v>809</v>
      </c>
      <c r="O223" s="80">
        <f t="shared" si="358"/>
        <v>893</v>
      </c>
      <c r="P223" s="81"/>
      <c r="Q223" s="81"/>
      <c r="R223" s="81"/>
      <c r="S223" s="81"/>
      <c r="T223" s="81"/>
      <c r="U223" s="81"/>
      <c r="V223" s="81"/>
      <c r="W223" s="81"/>
      <c r="X223" s="81"/>
      <c r="Y223" s="81"/>
      <c r="Z223" s="81"/>
      <c r="AA223" s="81"/>
      <c r="AB223" s="81"/>
      <c r="AC223" s="81"/>
      <c r="AD223" s="81"/>
      <c r="AE223" s="81"/>
      <c r="AF223" s="81"/>
    </row>
    <row r="224" spans="1:32">
      <c r="A224" s="76" t="s">
        <v>958</v>
      </c>
      <c r="B224" s="79">
        <f>B225*2*0.45</f>
        <v>21960</v>
      </c>
      <c r="C224" s="79">
        <f t="shared" ref="C224:I224" si="366">C225*2*0.45</f>
        <v>25110</v>
      </c>
      <c r="D224" s="79">
        <f t="shared" si="366"/>
        <v>28260</v>
      </c>
      <c r="E224" s="79">
        <f t="shared" si="366"/>
        <v>31365</v>
      </c>
      <c r="F224" s="79">
        <f t="shared" si="366"/>
        <v>33885</v>
      </c>
      <c r="G224" s="79">
        <f t="shared" si="366"/>
        <v>36405</v>
      </c>
      <c r="H224" s="79">
        <f t="shared" si="366"/>
        <v>38925</v>
      </c>
      <c r="I224" s="79">
        <f t="shared" si="366"/>
        <v>41445</v>
      </c>
      <c r="J224" s="80">
        <f t="shared" si="353"/>
        <v>549</v>
      </c>
      <c r="K224" s="80">
        <f t="shared" si="354"/>
        <v>588</v>
      </c>
      <c r="L224" s="80">
        <f t="shared" si="355"/>
        <v>706</v>
      </c>
      <c r="M224" s="80">
        <f t="shared" si="356"/>
        <v>815</v>
      </c>
      <c r="N224" s="80">
        <f t="shared" si="357"/>
        <v>910</v>
      </c>
      <c r="O224" s="80">
        <f t="shared" si="358"/>
        <v>1004</v>
      </c>
      <c r="P224" s="81"/>
      <c r="Q224" s="81"/>
      <c r="R224" s="81"/>
      <c r="S224" s="81"/>
      <c r="T224" s="81"/>
      <c r="U224" s="81"/>
      <c r="V224" s="81"/>
      <c r="W224" s="81"/>
      <c r="X224" s="81"/>
      <c r="Y224" s="81"/>
      <c r="Z224" s="81"/>
      <c r="AA224" s="81"/>
      <c r="AB224" s="81"/>
      <c r="AC224" s="81"/>
      <c r="AD224" s="81"/>
      <c r="AE224" s="81"/>
      <c r="AF224" s="81"/>
    </row>
    <row r="225" spans="1:32">
      <c r="A225" s="82" t="s">
        <v>959</v>
      </c>
      <c r="B225" s="84">
        <f>'MTSP 50% Income Limits '!B14</f>
        <v>24400</v>
      </c>
      <c r="C225" s="84">
        <f>'MTSP 50% Income Limits '!C14</f>
        <v>27900</v>
      </c>
      <c r="D225" s="84">
        <f>'MTSP 50% Income Limits '!D14</f>
        <v>31400</v>
      </c>
      <c r="E225" s="84">
        <f>'MTSP 50% Income Limits '!E14</f>
        <v>34850</v>
      </c>
      <c r="F225" s="84">
        <f>'MTSP 50% Income Limits '!F14</f>
        <v>37650</v>
      </c>
      <c r="G225" s="84">
        <f>'MTSP 50% Income Limits '!G14</f>
        <v>40450</v>
      </c>
      <c r="H225" s="84">
        <f>'MTSP 50% Income Limits '!H14</f>
        <v>43250</v>
      </c>
      <c r="I225" s="84">
        <f>'MTSP 50% Income Limits '!I14</f>
        <v>46050</v>
      </c>
      <c r="J225" s="83">
        <f>TRUNC(B225/12*0.3)</f>
        <v>610</v>
      </c>
      <c r="K225" s="83">
        <f>TRUNC((B225+C225)/2/12*0.3)</f>
        <v>653</v>
      </c>
      <c r="L225" s="83">
        <f>TRUNC((D225)/12*0.3)</f>
        <v>785</v>
      </c>
      <c r="M225" s="83">
        <f>TRUNC(((E225+F225)/2)/12*0.3)</f>
        <v>906</v>
      </c>
      <c r="N225" s="83">
        <f>TRUNC(G225/12*0.3)</f>
        <v>1011</v>
      </c>
      <c r="O225" s="83">
        <f>TRUNC(((H225+I225)/2)/12*0.3)</f>
        <v>1116</v>
      </c>
      <c r="P225" s="81"/>
      <c r="Q225" s="81"/>
      <c r="R225" s="81"/>
      <c r="S225" s="81"/>
      <c r="T225" s="81"/>
      <c r="U225" s="81"/>
      <c r="V225" s="81"/>
      <c r="W225" s="81"/>
      <c r="X225" s="81"/>
      <c r="Y225" s="81"/>
      <c r="Z225" s="81"/>
      <c r="AA225" s="81"/>
      <c r="AB225" s="81"/>
      <c r="AC225" s="81"/>
      <c r="AD225" s="81"/>
      <c r="AE225" s="81"/>
      <c r="AF225" s="81"/>
    </row>
    <row r="226" spans="1:32">
      <c r="A226" s="76" t="s">
        <v>960</v>
      </c>
      <c r="B226" s="79">
        <f>B225*2*0.55</f>
        <v>26840.000000000004</v>
      </c>
      <c r="C226" s="79">
        <f t="shared" ref="C226:I226" si="367">C225*2*0.55</f>
        <v>30690.000000000004</v>
      </c>
      <c r="D226" s="79">
        <f t="shared" si="367"/>
        <v>34540</v>
      </c>
      <c r="E226" s="79">
        <f t="shared" si="367"/>
        <v>38335</v>
      </c>
      <c r="F226" s="79">
        <f t="shared" si="367"/>
        <v>41415</v>
      </c>
      <c r="G226" s="79">
        <f t="shared" si="367"/>
        <v>44495</v>
      </c>
      <c r="H226" s="79">
        <f t="shared" si="367"/>
        <v>47575.000000000007</v>
      </c>
      <c r="I226" s="79">
        <f t="shared" si="367"/>
        <v>50655.000000000007</v>
      </c>
      <c r="J226" s="80">
        <f t="shared" ref="J226:J232" si="368">TRUNC(B226/12*0.3)</f>
        <v>671</v>
      </c>
      <c r="K226" s="80">
        <f t="shared" ref="K226:K232" si="369">TRUNC((B226+C226)/2/12*0.3)</f>
        <v>719</v>
      </c>
      <c r="L226" s="80">
        <f t="shared" ref="L226:L232" si="370">TRUNC((D226)/12*0.3)</f>
        <v>863</v>
      </c>
      <c r="M226" s="80">
        <f t="shared" ref="M226:M232" si="371">TRUNC(((E226+F226)/2)/12*0.3)</f>
        <v>996</v>
      </c>
      <c r="N226" s="80">
        <f t="shared" ref="N226:N232" si="372">TRUNC(G226/12*0.3)</f>
        <v>1112</v>
      </c>
      <c r="O226" s="80">
        <f t="shared" ref="O226:O232" si="373">TRUNC(((H226+I226)/2)/12*0.3)</f>
        <v>1227</v>
      </c>
      <c r="P226" s="81"/>
      <c r="Q226" s="81"/>
      <c r="R226" s="81"/>
      <c r="S226" s="81"/>
      <c r="T226" s="81"/>
      <c r="U226" s="81"/>
      <c r="V226" s="81"/>
      <c r="W226" s="81"/>
      <c r="X226" s="81"/>
      <c r="Y226" s="81"/>
      <c r="Z226" s="81"/>
      <c r="AA226" s="81"/>
      <c r="AB226" s="81"/>
      <c r="AC226" s="81"/>
      <c r="AD226" s="81"/>
      <c r="AE226" s="81"/>
      <c r="AF226" s="81"/>
    </row>
    <row r="227" spans="1:32">
      <c r="A227" s="76" t="s">
        <v>961</v>
      </c>
      <c r="B227" s="79">
        <f>B225*2*0.6</f>
        <v>29280</v>
      </c>
      <c r="C227" s="79">
        <f t="shared" ref="C227:I227" si="374">C225*2*0.6</f>
        <v>33480</v>
      </c>
      <c r="D227" s="79">
        <f t="shared" si="374"/>
        <v>37680</v>
      </c>
      <c r="E227" s="79">
        <f t="shared" si="374"/>
        <v>41820</v>
      </c>
      <c r="F227" s="79">
        <f t="shared" si="374"/>
        <v>45180</v>
      </c>
      <c r="G227" s="79">
        <f t="shared" si="374"/>
        <v>48540</v>
      </c>
      <c r="H227" s="79">
        <f t="shared" si="374"/>
        <v>51900</v>
      </c>
      <c r="I227" s="79">
        <f t="shared" si="374"/>
        <v>55260</v>
      </c>
      <c r="J227" s="80">
        <f t="shared" si="368"/>
        <v>732</v>
      </c>
      <c r="K227" s="80">
        <f t="shared" si="369"/>
        <v>784</v>
      </c>
      <c r="L227" s="80">
        <f t="shared" si="370"/>
        <v>942</v>
      </c>
      <c r="M227" s="80">
        <f t="shared" si="371"/>
        <v>1087</v>
      </c>
      <c r="N227" s="80">
        <f t="shared" si="372"/>
        <v>1213</v>
      </c>
      <c r="O227" s="80">
        <f t="shared" si="373"/>
        <v>1339</v>
      </c>
      <c r="P227" s="81"/>
      <c r="Q227" s="81"/>
      <c r="R227" s="81"/>
      <c r="S227" s="81"/>
      <c r="T227" s="81"/>
      <c r="U227" s="81"/>
      <c r="V227" s="81"/>
      <c r="W227" s="81"/>
      <c r="X227" s="81"/>
      <c r="Y227" s="81"/>
      <c r="Z227" s="81"/>
      <c r="AA227" s="81"/>
      <c r="AB227" s="81"/>
      <c r="AC227" s="81"/>
      <c r="AD227" s="81"/>
      <c r="AE227" s="81"/>
      <c r="AF227" s="81"/>
    </row>
    <row r="228" spans="1:32">
      <c r="A228" s="76" t="s">
        <v>962</v>
      </c>
      <c r="B228" s="79">
        <f>B225*2*0.65</f>
        <v>31720</v>
      </c>
      <c r="C228" s="79">
        <f t="shared" ref="C228:I228" si="375">C225*2*0.65</f>
        <v>36270</v>
      </c>
      <c r="D228" s="79">
        <f t="shared" si="375"/>
        <v>40820</v>
      </c>
      <c r="E228" s="79">
        <f t="shared" si="375"/>
        <v>45305</v>
      </c>
      <c r="F228" s="79">
        <f t="shared" si="375"/>
        <v>48945</v>
      </c>
      <c r="G228" s="79">
        <f t="shared" si="375"/>
        <v>52585</v>
      </c>
      <c r="H228" s="79">
        <f t="shared" si="375"/>
        <v>56225</v>
      </c>
      <c r="I228" s="79">
        <f t="shared" si="375"/>
        <v>59865</v>
      </c>
      <c r="J228" s="80">
        <f t="shared" si="368"/>
        <v>793</v>
      </c>
      <c r="K228" s="80">
        <f t="shared" si="369"/>
        <v>849</v>
      </c>
      <c r="L228" s="80">
        <f t="shared" si="370"/>
        <v>1020</v>
      </c>
      <c r="M228" s="80">
        <f t="shared" si="371"/>
        <v>1178</v>
      </c>
      <c r="N228" s="80">
        <f t="shared" si="372"/>
        <v>1314</v>
      </c>
      <c r="O228" s="80">
        <f t="shared" si="373"/>
        <v>1451</v>
      </c>
      <c r="P228" s="81"/>
      <c r="Q228" s="81"/>
      <c r="R228" s="81"/>
      <c r="S228" s="81"/>
      <c r="T228" s="81"/>
      <c r="U228" s="81"/>
      <c r="V228" s="81"/>
      <c r="W228" s="81"/>
      <c r="X228" s="81"/>
      <c r="Y228" s="81"/>
      <c r="Z228" s="81"/>
      <c r="AA228" s="81"/>
      <c r="AB228" s="81"/>
      <c r="AC228" s="81"/>
      <c r="AD228" s="81"/>
      <c r="AE228" s="81"/>
      <c r="AF228" s="81"/>
    </row>
    <row r="229" spans="1:32">
      <c r="A229" s="76" t="s">
        <v>963</v>
      </c>
      <c r="B229" s="79">
        <f>B225*2*0.7</f>
        <v>34160</v>
      </c>
      <c r="C229" s="79">
        <f t="shared" ref="C229:I229" si="376">C225*2*0.7</f>
        <v>39060</v>
      </c>
      <c r="D229" s="79">
        <f t="shared" si="376"/>
        <v>43960</v>
      </c>
      <c r="E229" s="79">
        <f t="shared" si="376"/>
        <v>48790</v>
      </c>
      <c r="F229" s="79">
        <f t="shared" si="376"/>
        <v>52710</v>
      </c>
      <c r="G229" s="79">
        <f t="shared" si="376"/>
        <v>56630</v>
      </c>
      <c r="H229" s="79">
        <f t="shared" si="376"/>
        <v>60549.999999999993</v>
      </c>
      <c r="I229" s="79">
        <f t="shared" si="376"/>
        <v>64469.999999999993</v>
      </c>
      <c r="J229" s="80">
        <f t="shared" si="368"/>
        <v>854</v>
      </c>
      <c r="K229" s="80">
        <f t="shared" si="369"/>
        <v>915</v>
      </c>
      <c r="L229" s="80">
        <f t="shared" si="370"/>
        <v>1099</v>
      </c>
      <c r="M229" s="80">
        <f t="shared" si="371"/>
        <v>1268</v>
      </c>
      <c r="N229" s="80">
        <f t="shared" si="372"/>
        <v>1415</v>
      </c>
      <c r="O229" s="80">
        <f t="shared" si="373"/>
        <v>1562</v>
      </c>
      <c r="P229" s="81"/>
      <c r="Q229" s="81"/>
      <c r="R229" s="81"/>
      <c r="S229" s="81"/>
      <c r="T229" s="81"/>
      <c r="U229" s="81"/>
      <c r="V229" s="81"/>
      <c r="W229" s="81"/>
      <c r="X229" s="81"/>
      <c r="Y229" s="81"/>
      <c r="Z229" s="81"/>
      <c r="AA229" s="81"/>
      <c r="AB229" s="81"/>
      <c r="AC229" s="81"/>
      <c r="AD229" s="81"/>
      <c r="AE229" s="81"/>
      <c r="AF229" s="81"/>
    </row>
    <row r="230" spans="1:32">
      <c r="A230" s="76" t="s">
        <v>964</v>
      </c>
      <c r="B230" s="79">
        <f>B225*2*0.75</f>
        <v>36600</v>
      </c>
      <c r="C230" s="79">
        <f t="shared" ref="C230:I230" si="377">C225*2*0.75</f>
        <v>41850</v>
      </c>
      <c r="D230" s="79">
        <f t="shared" si="377"/>
        <v>47100</v>
      </c>
      <c r="E230" s="79">
        <f t="shared" si="377"/>
        <v>52275</v>
      </c>
      <c r="F230" s="79">
        <f t="shared" si="377"/>
        <v>56475</v>
      </c>
      <c r="G230" s="79">
        <f t="shared" si="377"/>
        <v>60675</v>
      </c>
      <c r="H230" s="79">
        <f t="shared" si="377"/>
        <v>64875</v>
      </c>
      <c r="I230" s="79">
        <f t="shared" si="377"/>
        <v>69075</v>
      </c>
      <c r="J230" s="80">
        <f t="shared" si="368"/>
        <v>915</v>
      </c>
      <c r="K230" s="80">
        <f t="shared" si="369"/>
        <v>980</v>
      </c>
      <c r="L230" s="80">
        <f t="shared" si="370"/>
        <v>1177</v>
      </c>
      <c r="M230" s="80">
        <f t="shared" si="371"/>
        <v>1359</v>
      </c>
      <c r="N230" s="80">
        <f t="shared" si="372"/>
        <v>1516</v>
      </c>
      <c r="O230" s="80">
        <f t="shared" si="373"/>
        <v>1674</v>
      </c>
      <c r="P230" s="81"/>
      <c r="Q230" s="81"/>
      <c r="R230" s="81"/>
      <c r="S230" s="81"/>
      <c r="T230" s="81"/>
      <c r="U230" s="81"/>
      <c r="V230" s="81"/>
      <c r="W230" s="81"/>
      <c r="X230" s="81"/>
      <c r="Y230" s="81"/>
      <c r="Z230" s="81"/>
      <c r="AA230" s="81"/>
      <c r="AB230" s="81"/>
      <c r="AC230" s="81"/>
      <c r="AD230" s="81"/>
      <c r="AE230" s="81"/>
      <c r="AF230" s="81"/>
    </row>
    <row r="231" spans="1:32">
      <c r="A231" s="76" t="s">
        <v>965</v>
      </c>
      <c r="B231" s="79">
        <f>B225*2*0.8</f>
        <v>39040</v>
      </c>
      <c r="C231" s="79">
        <f t="shared" ref="C231:I231" si="378">C225*2*0.8</f>
        <v>44640</v>
      </c>
      <c r="D231" s="79">
        <f t="shared" si="378"/>
        <v>50240</v>
      </c>
      <c r="E231" s="79">
        <f t="shared" si="378"/>
        <v>55760</v>
      </c>
      <c r="F231" s="79">
        <f t="shared" si="378"/>
        <v>60240</v>
      </c>
      <c r="G231" s="79">
        <f t="shared" si="378"/>
        <v>64720</v>
      </c>
      <c r="H231" s="79">
        <f t="shared" si="378"/>
        <v>69200</v>
      </c>
      <c r="I231" s="79">
        <f t="shared" si="378"/>
        <v>73680</v>
      </c>
      <c r="J231" s="80">
        <f t="shared" si="368"/>
        <v>976</v>
      </c>
      <c r="K231" s="80">
        <f t="shared" si="369"/>
        <v>1046</v>
      </c>
      <c r="L231" s="80">
        <f t="shared" si="370"/>
        <v>1256</v>
      </c>
      <c r="M231" s="80">
        <f t="shared" si="371"/>
        <v>1450</v>
      </c>
      <c r="N231" s="80">
        <f t="shared" si="372"/>
        <v>1618</v>
      </c>
      <c r="O231" s="80">
        <f t="shared" si="373"/>
        <v>1786</v>
      </c>
      <c r="P231" s="81"/>
      <c r="Q231" s="81"/>
      <c r="R231" s="81"/>
      <c r="S231" s="81"/>
      <c r="T231" s="81"/>
      <c r="U231" s="81"/>
      <c r="V231" s="81"/>
      <c r="W231" s="81"/>
      <c r="X231" s="81"/>
      <c r="Y231" s="81"/>
      <c r="Z231" s="81"/>
      <c r="AA231" s="81"/>
      <c r="AB231" s="81"/>
      <c r="AC231" s="81"/>
      <c r="AD231" s="81"/>
      <c r="AE231" s="81"/>
      <c r="AF231" s="81"/>
    </row>
    <row r="232" spans="1:32">
      <c r="A232" s="76" t="s">
        <v>966</v>
      </c>
      <c r="B232" s="79">
        <f>B225*2*0.9</f>
        <v>43920</v>
      </c>
      <c r="C232" s="79">
        <f t="shared" ref="C232:I232" si="379">C225*2*0.9</f>
        <v>50220</v>
      </c>
      <c r="D232" s="79">
        <f t="shared" si="379"/>
        <v>56520</v>
      </c>
      <c r="E232" s="79">
        <f t="shared" si="379"/>
        <v>62730</v>
      </c>
      <c r="F232" s="79">
        <f t="shared" si="379"/>
        <v>67770</v>
      </c>
      <c r="G232" s="79">
        <f t="shared" si="379"/>
        <v>72810</v>
      </c>
      <c r="H232" s="79">
        <f t="shared" si="379"/>
        <v>77850</v>
      </c>
      <c r="I232" s="79">
        <f t="shared" si="379"/>
        <v>82890</v>
      </c>
      <c r="J232" s="80">
        <f t="shared" si="368"/>
        <v>1098</v>
      </c>
      <c r="K232" s="80">
        <f t="shared" si="369"/>
        <v>1176</v>
      </c>
      <c r="L232" s="80">
        <f t="shared" si="370"/>
        <v>1413</v>
      </c>
      <c r="M232" s="80">
        <f t="shared" si="371"/>
        <v>1631</v>
      </c>
      <c r="N232" s="80">
        <f t="shared" si="372"/>
        <v>1820</v>
      </c>
      <c r="O232" s="80">
        <f t="shared" si="373"/>
        <v>2009</v>
      </c>
      <c r="P232" s="81"/>
      <c r="Q232" s="81"/>
      <c r="R232" s="81"/>
      <c r="S232" s="81"/>
      <c r="T232" s="81"/>
      <c r="U232" s="81"/>
      <c r="V232" s="81"/>
      <c r="W232" s="81"/>
      <c r="X232" s="81"/>
      <c r="Y232" s="81"/>
      <c r="Z232" s="81"/>
      <c r="AA232" s="81"/>
      <c r="AB232" s="81"/>
      <c r="AC232" s="81"/>
      <c r="AD232" s="81"/>
      <c r="AE232" s="81"/>
      <c r="AF232" s="81"/>
    </row>
    <row r="233" spans="1:32">
      <c r="A233" s="76" t="s">
        <v>967</v>
      </c>
      <c r="B233" s="79">
        <f>B225*2</f>
        <v>48800</v>
      </c>
      <c r="C233" s="79">
        <f t="shared" ref="C233:I233" si="380">C225*2</f>
        <v>55800</v>
      </c>
      <c r="D233" s="79">
        <f t="shared" si="380"/>
        <v>62800</v>
      </c>
      <c r="E233" s="79">
        <f t="shared" si="380"/>
        <v>69700</v>
      </c>
      <c r="F233" s="79">
        <f t="shared" si="380"/>
        <v>75300</v>
      </c>
      <c r="G233" s="79">
        <f t="shared" si="380"/>
        <v>80900</v>
      </c>
      <c r="H233" s="79">
        <f t="shared" si="380"/>
        <v>86500</v>
      </c>
      <c r="I233" s="79">
        <f t="shared" si="380"/>
        <v>92100</v>
      </c>
      <c r="J233" s="80">
        <f>J225*2</f>
        <v>1220</v>
      </c>
      <c r="K233" s="80">
        <f t="shared" ref="K233:O233" si="381">K225*2</f>
        <v>1306</v>
      </c>
      <c r="L233" s="80">
        <f t="shared" si="381"/>
        <v>1570</v>
      </c>
      <c r="M233" s="80">
        <f t="shared" si="381"/>
        <v>1812</v>
      </c>
      <c r="N233" s="80">
        <f t="shared" si="381"/>
        <v>2022</v>
      </c>
      <c r="O233" s="80">
        <f t="shared" si="381"/>
        <v>2232</v>
      </c>
      <c r="P233" s="81"/>
      <c r="Q233" s="81"/>
      <c r="R233" s="81"/>
      <c r="S233" s="81"/>
      <c r="T233" s="81"/>
      <c r="U233" s="81"/>
      <c r="V233" s="81"/>
      <c r="W233" s="81"/>
      <c r="X233" s="81"/>
      <c r="Y233" s="81"/>
      <c r="Z233" s="81"/>
      <c r="AA233" s="81"/>
      <c r="AB233" s="81"/>
      <c r="AC233" s="81"/>
      <c r="AD233" s="81"/>
      <c r="AE233" s="81"/>
      <c r="AF233" s="81"/>
    </row>
    <row r="234" spans="1:32">
      <c r="A234" s="76" t="s">
        <v>968</v>
      </c>
      <c r="B234" s="79">
        <f>B225*2*1.1</f>
        <v>53680.000000000007</v>
      </c>
      <c r="C234" s="79">
        <f t="shared" ref="C234:I234" si="382">C225*2*1.1</f>
        <v>61380.000000000007</v>
      </c>
      <c r="D234" s="79">
        <f t="shared" si="382"/>
        <v>69080</v>
      </c>
      <c r="E234" s="79">
        <f t="shared" si="382"/>
        <v>76670</v>
      </c>
      <c r="F234" s="79">
        <f t="shared" si="382"/>
        <v>82830</v>
      </c>
      <c r="G234" s="79">
        <f t="shared" si="382"/>
        <v>88990</v>
      </c>
      <c r="H234" s="79">
        <f t="shared" si="382"/>
        <v>95150.000000000015</v>
      </c>
      <c r="I234" s="79">
        <f t="shared" si="382"/>
        <v>101310.00000000001</v>
      </c>
      <c r="J234" s="80">
        <f t="shared" ref="J234:J242" si="383">TRUNC(B234/12*0.3)</f>
        <v>1342</v>
      </c>
      <c r="K234" s="80">
        <f t="shared" ref="K234:K242" si="384">TRUNC((B234+C234)/2/12*0.3)</f>
        <v>1438</v>
      </c>
      <c r="L234" s="80">
        <f t="shared" ref="L234:L242" si="385">TRUNC((D234)/12*0.3)</f>
        <v>1727</v>
      </c>
      <c r="M234" s="80">
        <f t="shared" ref="M234:M242" si="386">TRUNC(((E234+F234)/2)/12*0.3)</f>
        <v>1993</v>
      </c>
      <c r="N234" s="80">
        <f t="shared" ref="N234:N242" si="387">TRUNC(G234/12*0.3)</f>
        <v>2224</v>
      </c>
      <c r="O234" s="80">
        <f t="shared" ref="O234:O242" si="388">TRUNC(((H234+I234)/2)/12*0.3)</f>
        <v>2455</v>
      </c>
      <c r="P234" s="81"/>
      <c r="Q234" s="81"/>
      <c r="R234" s="81"/>
      <c r="S234" s="81"/>
      <c r="T234" s="81"/>
      <c r="U234" s="81"/>
      <c r="V234" s="81"/>
      <c r="W234" s="81"/>
      <c r="X234" s="81"/>
      <c r="Y234" s="81"/>
      <c r="Z234" s="81"/>
      <c r="AA234" s="81"/>
      <c r="AB234" s="81"/>
      <c r="AC234" s="81"/>
      <c r="AD234" s="81"/>
      <c r="AE234" s="81"/>
      <c r="AF234" s="81"/>
    </row>
    <row r="235" spans="1:32">
      <c r="A235" s="76" t="s">
        <v>969</v>
      </c>
      <c r="B235" s="79">
        <f>B225*2*1.2</f>
        <v>58560</v>
      </c>
      <c r="C235" s="79">
        <f t="shared" ref="C235:I235" si="389">C225*2*1.2</f>
        <v>66960</v>
      </c>
      <c r="D235" s="79">
        <f t="shared" si="389"/>
        <v>75360</v>
      </c>
      <c r="E235" s="79">
        <f t="shared" si="389"/>
        <v>83640</v>
      </c>
      <c r="F235" s="79">
        <f t="shared" si="389"/>
        <v>90360</v>
      </c>
      <c r="G235" s="79">
        <f t="shared" si="389"/>
        <v>97080</v>
      </c>
      <c r="H235" s="79">
        <f t="shared" si="389"/>
        <v>103800</v>
      </c>
      <c r="I235" s="79">
        <f t="shared" si="389"/>
        <v>110520</v>
      </c>
      <c r="J235" s="80">
        <f t="shared" si="383"/>
        <v>1464</v>
      </c>
      <c r="K235" s="80">
        <f t="shared" si="384"/>
        <v>1569</v>
      </c>
      <c r="L235" s="80">
        <f t="shared" si="385"/>
        <v>1884</v>
      </c>
      <c r="M235" s="80">
        <f t="shared" si="386"/>
        <v>2175</v>
      </c>
      <c r="N235" s="80">
        <f t="shared" si="387"/>
        <v>2427</v>
      </c>
      <c r="O235" s="80">
        <f t="shared" si="388"/>
        <v>2679</v>
      </c>
      <c r="P235" s="81"/>
      <c r="Q235" s="81"/>
      <c r="R235" s="81"/>
      <c r="S235" s="81"/>
      <c r="T235" s="81"/>
      <c r="U235" s="81"/>
      <c r="V235" s="81"/>
      <c r="W235" s="81"/>
      <c r="X235" s="81"/>
      <c r="Y235" s="81"/>
      <c r="Z235" s="81"/>
      <c r="AA235" s="81"/>
      <c r="AB235" s="81"/>
      <c r="AC235" s="81"/>
      <c r="AD235" s="81"/>
      <c r="AE235" s="81"/>
      <c r="AF235" s="81"/>
    </row>
    <row r="236" spans="1:32">
      <c r="A236" s="76" t="s">
        <v>970</v>
      </c>
      <c r="B236" s="79">
        <f>B243*2*0.15</f>
        <v>7785</v>
      </c>
      <c r="C236" s="79">
        <f>C243*2*0.15</f>
        <v>8895</v>
      </c>
      <c r="D236" s="79">
        <f>D243*2*0.15</f>
        <v>10005</v>
      </c>
      <c r="E236" s="79">
        <f>E243*2*0.15</f>
        <v>11115</v>
      </c>
      <c r="F236" s="79">
        <f>F243*2*0.15</f>
        <v>12015</v>
      </c>
      <c r="G236" s="79">
        <f t="shared" ref="G236:I236" si="390">G243*2*0.15</f>
        <v>12900</v>
      </c>
      <c r="H236" s="79">
        <f t="shared" si="390"/>
        <v>13785</v>
      </c>
      <c r="I236" s="79">
        <f t="shared" si="390"/>
        <v>14685</v>
      </c>
      <c r="J236" s="80">
        <f t="shared" si="383"/>
        <v>194</v>
      </c>
      <c r="K236" s="80">
        <f t="shared" si="384"/>
        <v>208</v>
      </c>
      <c r="L236" s="80">
        <f t="shared" si="385"/>
        <v>250</v>
      </c>
      <c r="M236" s="80">
        <f t="shared" si="386"/>
        <v>289</v>
      </c>
      <c r="N236" s="80">
        <f t="shared" si="387"/>
        <v>322</v>
      </c>
      <c r="O236" s="80">
        <f t="shared" si="388"/>
        <v>355</v>
      </c>
      <c r="P236" s="81"/>
      <c r="Q236" s="81"/>
      <c r="R236" s="81"/>
      <c r="S236" s="81"/>
      <c r="T236" s="81"/>
      <c r="U236" s="81"/>
      <c r="V236" s="81"/>
      <c r="W236" s="81"/>
      <c r="X236" s="81"/>
      <c r="Y236" s="81"/>
      <c r="Z236" s="81"/>
      <c r="AA236" s="81"/>
      <c r="AB236" s="81"/>
      <c r="AC236" s="81"/>
      <c r="AD236" s="81"/>
      <c r="AE236" s="81"/>
      <c r="AF236" s="81"/>
    </row>
    <row r="237" spans="1:32">
      <c r="A237" s="76" t="s">
        <v>971</v>
      </c>
      <c r="B237" s="79">
        <f>B243*2*0.2</f>
        <v>10380</v>
      </c>
      <c r="C237" s="79">
        <f t="shared" ref="C237:I237" si="391">C243*2*0.2</f>
        <v>11860</v>
      </c>
      <c r="D237" s="79">
        <f t="shared" si="391"/>
        <v>13340</v>
      </c>
      <c r="E237" s="79">
        <f t="shared" si="391"/>
        <v>14820</v>
      </c>
      <c r="F237" s="79">
        <f t="shared" si="391"/>
        <v>16020</v>
      </c>
      <c r="G237" s="79">
        <f t="shared" si="391"/>
        <v>17200</v>
      </c>
      <c r="H237" s="79">
        <f t="shared" si="391"/>
        <v>18380</v>
      </c>
      <c r="I237" s="79">
        <f t="shared" si="391"/>
        <v>19580</v>
      </c>
      <c r="J237" s="80">
        <f t="shared" si="383"/>
        <v>259</v>
      </c>
      <c r="K237" s="80">
        <f t="shared" si="384"/>
        <v>278</v>
      </c>
      <c r="L237" s="80">
        <f t="shared" si="385"/>
        <v>333</v>
      </c>
      <c r="M237" s="80">
        <f t="shared" si="386"/>
        <v>385</v>
      </c>
      <c r="N237" s="80">
        <f t="shared" si="387"/>
        <v>430</v>
      </c>
      <c r="O237" s="80">
        <f t="shared" si="388"/>
        <v>474</v>
      </c>
      <c r="P237" s="81"/>
      <c r="Q237" s="81"/>
      <c r="R237" s="81"/>
      <c r="S237" s="81"/>
      <c r="T237" s="81"/>
      <c r="U237" s="81"/>
      <c r="V237" s="81"/>
      <c r="W237" s="81"/>
      <c r="X237" s="81"/>
      <c r="Y237" s="81"/>
      <c r="Z237" s="81"/>
      <c r="AA237" s="81"/>
      <c r="AB237" s="81"/>
      <c r="AC237" s="81"/>
      <c r="AD237" s="81"/>
      <c r="AE237" s="81"/>
      <c r="AF237" s="81"/>
    </row>
    <row r="238" spans="1:32">
      <c r="A238" s="76" t="s">
        <v>972</v>
      </c>
      <c r="B238" s="79">
        <f>B243*2*0.25</f>
        <v>12975</v>
      </c>
      <c r="C238" s="79">
        <f t="shared" ref="C238:I238" si="392">C243*2*0.25</f>
        <v>14825</v>
      </c>
      <c r="D238" s="79">
        <f t="shared" si="392"/>
        <v>16675</v>
      </c>
      <c r="E238" s="79">
        <f t="shared" si="392"/>
        <v>18525</v>
      </c>
      <c r="F238" s="79">
        <f t="shared" si="392"/>
        <v>20025</v>
      </c>
      <c r="G238" s="79">
        <f t="shared" si="392"/>
        <v>21500</v>
      </c>
      <c r="H238" s="79">
        <f t="shared" si="392"/>
        <v>22975</v>
      </c>
      <c r="I238" s="79">
        <f t="shared" si="392"/>
        <v>24475</v>
      </c>
      <c r="J238" s="80">
        <f t="shared" si="383"/>
        <v>324</v>
      </c>
      <c r="K238" s="80">
        <f t="shared" si="384"/>
        <v>347</v>
      </c>
      <c r="L238" s="80">
        <f t="shared" si="385"/>
        <v>416</v>
      </c>
      <c r="M238" s="80">
        <f t="shared" si="386"/>
        <v>481</v>
      </c>
      <c r="N238" s="80">
        <f t="shared" si="387"/>
        <v>537</v>
      </c>
      <c r="O238" s="80">
        <f t="shared" si="388"/>
        <v>593</v>
      </c>
      <c r="P238" s="81"/>
      <c r="Q238" s="81"/>
      <c r="R238" s="81"/>
      <c r="S238" s="81"/>
      <c r="T238" s="81"/>
      <c r="U238" s="81"/>
      <c r="V238" s="81"/>
      <c r="W238" s="81"/>
      <c r="X238" s="81"/>
      <c r="Y238" s="81"/>
      <c r="Z238" s="81"/>
      <c r="AA238" s="81"/>
      <c r="AB238" s="81"/>
      <c r="AC238" s="81"/>
      <c r="AD238" s="81"/>
      <c r="AE238" s="81"/>
      <c r="AF238" s="81"/>
    </row>
    <row r="239" spans="1:32">
      <c r="A239" s="76" t="s">
        <v>973</v>
      </c>
      <c r="B239" s="79">
        <f>B243*2*0.3</f>
        <v>15570</v>
      </c>
      <c r="C239" s="79">
        <f t="shared" ref="C239:I239" si="393">C243*2*0.3</f>
        <v>17790</v>
      </c>
      <c r="D239" s="79">
        <f t="shared" si="393"/>
        <v>20010</v>
      </c>
      <c r="E239" s="79">
        <f t="shared" si="393"/>
        <v>22230</v>
      </c>
      <c r="F239" s="79">
        <f t="shared" si="393"/>
        <v>24030</v>
      </c>
      <c r="G239" s="79">
        <f t="shared" si="393"/>
        <v>25800</v>
      </c>
      <c r="H239" s="79">
        <f t="shared" si="393"/>
        <v>27570</v>
      </c>
      <c r="I239" s="79">
        <f t="shared" si="393"/>
        <v>29370</v>
      </c>
      <c r="J239" s="80">
        <f t="shared" si="383"/>
        <v>389</v>
      </c>
      <c r="K239" s="80">
        <f t="shared" si="384"/>
        <v>417</v>
      </c>
      <c r="L239" s="80">
        <f t="shared" si="385"/>
        <v>500</v>
      </c>
      <c r="M239" s="80">
        <f t="shared" si="386"/>
        <v>578</v>
      </c>
      <c r="N239" s="80">
        <f t="shared" si="387"/>
        <v>645</v>
      </c>
      <c r="O239" s="80">
        <f t="shared" si="388"/>
        <v>711</v>
      </c>
      <c r="P239" s="81"/>
      <c r="Q239" s="81"/>
      <c r="R239" s="81"/>
      <c r="S239" s="81"/>
      <c r="T239" s="81"/>
      <c r="U239" s="81"/>
      <c r="V239" s="81"/>
      <c r="W239" s="81"/>
      <c r="X239" s="81"/>
      <c r="Y239" s="81"/>
      <c r="Z239" s="81"/>
      <c r="AA239" s="81"/>
      <c r="AB239" s="81"/>
      <c r="AC239" s="81"/>
      <c r="AD239" s="81"/>
      <c r="AE239" s="81"/>
      <c r="AF239" s="81"/>
    </row>
    <row r="240" spans="1:32">
      <c r="A240" s="76" t="s">
        <v>974</v>
      </c>
      <c r="B240" s="79">
        <f>B243*2*0.35</f>
        <v>18165</v>
      </c>
      <c r="C240" s="79">
        <f t="shared" ref="C240:I240" si="394">C243*2*0.35</f>
        <v>20755</v>
      </c>
      <c r="D240" s="79">
        <f t="shared" si="394"/>
        <v>23345</v>
      </c>
      <c r="E240" s="79">
        <f t="shared" si="394"/>
        <v>25935</v>
      </c>
      <c r="F240" s="79">
        <f t="shared" si="394"/>
        <v>28035</v>
      </c>
      <c r="G240" s="79">
        <f t="shared" si="394"/>
        <v>30099.999999999996</v>
      </c>
      <c r="H240" s="79">
        <f t="shared" si="394"/>
        <v>32164.999999999996</v>
      </c>
      <c r="I240" s="79">
        <f t="shared" si="394"/>
        <v>34265</v>
      </c>
      <c r="J240" s="80">
        <f t="shared" si="383"/>
        <v>454</v>
      </c>
      <c r="K240" s="80">
        <f t="shared" si="384"/>
        <v>486</v>
      </c>
      <c r="L240" s="80">
        <f t="shared" si="385"/>
        <v>583</v>
      </c>
      <c r="M240" s="80">
        <f t="shared" si="386"/>
        <v>674</v>
      </c>
      <c r="N240" s="80">
        <f t="shared" si="387"/>
        <v>752</v>
      </c>
      <c r="O240" s="80">
        <f t="shared" si="388"/>
        <v>830</v>
      </c>
      <c r="P240" s="81"/>
      <c r="Q240" s="81"/>
      <c r="R240" s="81"/>
      <c r="S240" s="81"/>
      <c r="T240" s="81"/>
      <c r="U240" s="81"/>
      <c r="V240" s="81"/>
      <c r="W240" s="81"/>
      <c r="X240" s="81"/>
      <c r="Y240" s="81"/>
      <c r="Z240" s="81"/>
      <c r="AA240" s="81"/>
      <c r="AB240" s="81"/>
      <c r="AC240" s="81"/>
      <c r="AD240" s="81"/>
      <c r="AE240" s="81"/>
      <c r="AF240" s="81"/>
    </row>
    <row r="241" spans="1:32">
      <c r="A241" s="76" t="s">
        <v>975</v>
      </c>
      <c r="B241" s="79">
        <f>B243*2*0.4</f>
        <v>20760</v>
      </c>
      <c r="C241" s="79">
        <f t="shared" ref="C241:I241" si="395">C243*2*0.4</f>
        <v>23720</v>
      </c>
      <c r="D241" s="79">
        <f t="shared" si="395"/>
        <v>26680</v>
      </c>
      <c r="E241" s="79">
        <f t="shared" si="395"/>
        <v>29640</v>
      </c>
      <c r="F241" s="79">
        <f t="shared" si="395"/>
        <v>32040</v>
      </c>
      <c r="G241" s="79">
        <f t="shared" si="395"/>
        <v>34400</v>
      </c>
      <c r="H241" s="79">
        <f t="shared" si="395"/>
        <v>36760</v>
      </c>
      <c r="I241" s="79">
        <f t="shared" si="395"/>
        <v>39160</v>
      </c>
      <c r="J241" s="80">
        <f t="shared" si="383"/>
        <v>519</v>
      </c>
      <c r="K241" s="80">
        <f t="shared" si="384"/>
        <v>556</v>
      </c>
      <c r="L241" s="80">
        <f t="shared" si="385"/>
        <v>667</v>
      </c>
      <c r="M241" s="80">
        <f t="shared" si="386"/>
        <v>771</v>
      </c>
      <c r="N241" s="80">
        <f t="shared" si="387"/>
        <v>860</v>
      </c>
      <c r="O241" s="80">
        <f t="shared" si="388"/>
        <v>949</v>
      </c>
      <c r="P241" s="81"/>
      <c r="Q241" s="81"/>
      <c r="R241" s="81"/>
      <c r="S241" s="81"/>
      <c r="T241" s="81"/>
      <c r="U241" s="81"/>
      <c r="V241" s="81"/>
      <c r="W241" s="81"/>
      <c r="X241" s="81"/>
      <c r="Y241" s="81"/>
      <c r="Z241" s="81"/>
      <c r="AA241" s="81"/>
      <c r="AB241" s="81"/>
      <c r="AC241" s="81"/>
      <c r="AD241" s="81"/>
      <c r="AE241" s="81"/>
      <c r="AF241" s="81"/>
    </row>
    <row r="242" spans="1:32">
      <c r="A242" s="76" t="s">
        <v>976</v>
      </c>
      <c r="B242" s="79">
        <f>B243*2*0.45</f>
        <v>23355</v>
      </c>
      <c r="C242" s="79">
        <f t="shared" ref="C242:I242" si="396">C243*2*0.45</f>
        <v>26685</v>
      </c>
      <c r="D242" s="79">
        <f t="shared" si="396"/>
        <v>30015</v>
      </c>
      <c r="E242" s="79">
        <f t="shared" si="396"/>
        <v>33345</v>
      </c>
      <c r="F242" s="79">
        <f t="shared" si="396"/>
        <v>36045</v>
      </c>
      <c r="G242" s="79">
        <f t="shared" si="396"/>
        <v>38700</v>
      </c>
      <c r="H242" s="79">
        <f t="shared" si="396"/>
        <v>41355</v>
      </c>
      <c r="I242" s="79">
        <f t="shared" si="396"/>
        <v>44055</v>
      </c>
      <c r="J242" s="80">
        <f t="shared" si="383"/>
        <v>583</v>
      </c>
      <c r="K242" s="80">
        <f t="shared" si="384"/>
        <v>625</v>
      </c>
      <c r="L242" s="80">
        <f t="shared" si="385"/>
        <v>750</v>
      </c>
      <c r="M242" s="80">
        <f t="shared" si="386"/>
        <v>867</v>
      </c>
      <c r="N242" s="80">
        <f t="shared" si="387"/>
        <v>967</v>
      </c>
      <c r="O242" s="80">
        <f t="shared" si="388"/>
        <v>1067</v>
      </c>
      <c r="P242" s="81"/>
      <c r="Q242" s="81"/>
      <c r="R242" s="81"/>
      <c r="S242" s="81"/>
      <c r="T242" s="81"/>
      <c r="U242" s="81"/>
      <c r="V242" s="81"/>
      <c r="W242" s="81"/>
      <c r="X242" s="81"/>
      <c r="Y242" s="81"/>
      <c r="Z242" s="81"/>
      <c r="AA242" s="81"/>
      <c r="AB242" s="81"/>
      <c r="AC242" s="81"/>
      <c r="AD242" s="81"/>
      <c r="AE242" s="81"/>
      <c r="AF242" s="81"/>
    </row>
    <row r="243" spans="1:32">
      <c r="A243" s="82" t="s">
        <v>977</v>
      </c>
      <c r="B243" s="84">
        <f>'MTSP 50% Income Limits '!B15</f>
        <v>25950</v>
      </c>
      <c r="C243" s="84">
        <f>'MTSP 50% Income Limits '!C15</f>
        <v>29650</v>
      </c>
      <c r="D243" s="84">
        <f>'MTSP 50% Income Limits '!D15</f>
        <v>33350</v>
      </c>
      <c r="E243" s="84">
        <f>'MTSP 50% Income Limits '!E15</f>
        <v>37050</v>
      </c>
      <c r="F243" s="84">
        <f>'MTSP 50% Income Limits '!F15</f>
        <v>40050</v>
      </c>
      <c r="G243" s="84">
        <f>'MTSP 50% Income Limits '!G15</f>
        <v>43000</v>
      </c>
      <c r="H243" s="84">
        <f>'MTSP 50% Income Limits '!H15</f>
        <v>45950</v>
      </c>
      <c r="I243" s="84">
        <f>'MTSP 50% Income Limits '!I15</f>
        <v>48950</v>
      </c>
      <c r="J243" s="83">
        <f>TRUNC(B243/12*0.3)</f>
        <v>648</v>
      </c>
      <c r="K243" s="83">
        <f>TRUNC((B243+C243)/2/12*0.3)</f>
        <v>695</v>
      </c>
      <c r="L243" s="83">
        <f>TRUNC((D243)/12*0.3)</f>
        <v>833</v>
      </c>
      <c r="M243" s="83">
        <f>TRUNC(((E243+F243)/2)/12*0.3)</f>
        <v>963</v>
      </c>
      <c r="N243" s="83">
        <f>TRUNC(G243/12*0.3)</f>
        <v>1075</v>
      </c>
      <c r="O243" s="83">
        <f>TRUNC(((H243+I243)/2)/12*0.3)</f>
        <v>1186</v>
      </c>
      <c r="P243" s="81"/>
      <c r="Q243" s="81"/>
      <c r="R243" s="81"/>
      <c r="S243" s="81"/>
      <c r="T243" s="81"/>
      <c r="U243" s="81"/>
      <c r="V243" s="81"/>
      <c r="W243" s="81"/>
      <c r="X243" s="81"/>
      <c r="Y243" s="81"/>
      <c r="Z243" s="81"/>
      <c r="AA243" s="81"/>
      <c r="AB243" s="81"/>
      <c r="AC243" s="81"/>
      <c r="AD243" s="81"/>
      <c r="AE243" s="81"/>
      <c r="AF243" s="81"/>
    </row>
    <row r="244" spans="1:32">
      <c r="A244" s="76" t="s">
        <v>978</v>
      </c>
      <c r="B244" s="79">
        <f>B243*2*0.55</f>
        <v>28545.000000000004</v>
      </c>
      <c r="C244" s="79">
        <f t="shared" ref="C244:I244" si="397">C243*2*0.55</f>
        <v>32615.000000000004</v>
      </c>
      <c r="D244" s="79">
        <f t="shared" si="397"/>
        <v>36685</v>
      </c>
      <c r="E244" s="79">
        <f t="shared" si="397"/>
        <v>40755</v>
      </c>
      <c r="F244" s="79">
        <f t="shared" si="397"/>
        <v>44055</v>
      </c>
      <c r="G244" s="79">
        <f t="shared" si="397"/>
        <v>47300.000000000007</v>
      </c>
      <c r="H244" s="79">
        <f t="shared" si="397"/>
        <v>50545.000000000007</v>
      </c>
      <c r="I244" s="79">
        <f t="shared" si="397"/>
        <v>53845.000000000007</v>
      </c>
      <c r="J244" s="80">
        <f t="shared" ref="J244:J250" si="398">TRUNC(B244/12*0.3)</f>
        <v>713</v>
      </c>
      <c r="K244" s="80">
        <f t="shared" ref="K244:K250" si="399">TRUNC((B244+C244)/2/12*0.3)</f>
        <v>764</v>
      </c>
      <c r="L244" s="80">
        <f t="shared" ref="L244:L250" si="400">TRUNC((D244)/12*0.3)</f>
        <v>917</v>
      </c>
      <c r="M244" s="80">
        <f t="shared" ref="M244:M250" si="401">TRUNC(((E244+F244)/2)/12*0.3)</f>
        <v>1060</v>
      </c>
      <c r="N244" s="80">
        <f t="shared" ref="N244:N250" si="402">TRUNC(G244/12*0.3)</f>
        <v>1182</v>
      </c>
      <c r="O244" s="80">
        <f t="shared" ref="O244:O250" si="403">TRUNC(((H244+I244)/2)/12*0.3)</f>
        <v>1304</v>
      </c>
      <c r="P244" s="81"/>
      <c r="Q244" s="81"/>
      <c r="R244" s="81"/>
      <c r="S244" s="81"/>
      <c r="T244" s="81"/>
      <c r="U244" s="81"/>
      <c r="V244" s="81"/>
      <c r="W244" s="81"/>
      <c r="X244" s="81"/>
      <c r="Y244" s="81"/>
      <c r="Z244" s="81"/>
      <c r="AA244" s="81"/>
      <c r="AB244" s="81"/>
      <c r="AC244" s="81"/>
      <c r="AD244" s="81"/>
      <c r="AE244" s="81"/>
      <c r="AF244" s="81"/>
    </row>
    <row r="245" spans="1:32">
      <c r="A245" s="76" t="s">
        <v>979</v>
      </c>
      <c r="B245" s="79">
        <f>B243*2*0.6</f>
        <v>31140</v>
      </c>
      <c r="C245" s="79">
        <f t="shared" ref="C245:I245" si="404">C243*2*0.6</f>
        <v>35580</v>
      </c>
      <c r="D245" s="79">
        <f t="shared" si="404"/>
        <v>40020</v>
      </c>
      <c r="E245" s="79">
        <f t="shared" si="404"/>
        <v>44460</v>
      </c>
      <c r="F245" s="79">
        <f t="shared" si="404"/>
        <v>48060</v>
      </c>
      <c r="G245" s="79">
        <f t="shared" si="404"/>
        <v>51600</v>
      </c>
      <c r="H245" s="79">
        <f t="shared" si="404"/>
        <v>55140</v>
      </c>
      <c r="I245" s="79">
        <f t="shared" si="404"/>
        <v>58740</v>
      </c>
      <c r="J245" s="80">
        <f t="shared" si="398"/>
        <v>778</v>
      </c>
      <c r="K245" s="80">
        <f t="shared" si="399"/>
        <v>834</v>
      </c>
      <c r="L245" s="80">
        <f t="shared" si="400"/>
        <v>1000</v>
      </c>
      <c r="M245" s="80">
        <f t="shared" si="401"/>
        <v>1156</v>
      </c>
      <c r="N245" s="80">
        <f t="shared" si="402"/>
        <v>1290</v>
      </c>
      <c r="O245" s="80">
        <f t="shared" si="403"/>
        <v>1423</v>
      </c>
      <c r="P245" s="81"/>
      <c r="Q245" s="81"/>
      <c r="R245" s="81"/>
      <c r="S245" s="81"/>
      <c r="T245" s="81"/>
      <c r="U245" s="81"/>
      <c r="V245" s="81"/>
      <c r="W245" s="81"/>
      <c r="X245" s="81"/>
      <c r="Y245" s="81"/>
      <c r="Z245" s="81"/>
      <c r="AA245" s="81"/>
      <c r="AB245" s="81"/>
      <c r="AC245" s="81"/>
      <c r="AD245" s="81"/>
      <c r="AE245" s="81"/>
      <c r="AF245" s="81"/>
    </row>
    <row r="246" spans="1:32">
      <c r="A246" s="76" t="s">
        <v>980</v>
      </c>
      <c r="B246" s="79">
        <f>B243*2*0.65</f>
        <v>33735</v>
      </c>
      <c r="C246" s="79">
        <f t="shared" ref="C246:I246" si="405">C243*2*0.65</f>
        <v>38545</v>
      </c>
      <c r="D246" s="79">
        <f t="shared" si="405"/>
        <v>43355</v>
      </c>
      <c r="E246" s="79">
        <f t="shared" si="405"/>
        <v>48165</v>
      </c>
      <c r="F246" s="79">
        <f t="shared" si="405"/>
        <v>52065</v>
      </c>
      <c r="G246" s="79">
        <f t="shared" si="405"/>
        <v>55900</v>
      </c>
      <c r="H246" s="79">
        <f t="shared" si="405"/>
        <v>59735</v>
      </c>
      <c r="I246" s="79">
        <f t="shared" si="405"/>
        <v>63635</v>
      </c>
      <c r="J246" s="80">
        <f t="shared" si="398"/>
        <v>843</v>
      </c>
      <c r="K246" s="80">
        <f t="shared" si="399"/>
        <v>903</v>
      </c>
      <c r="L246" s="80">
        <f t="shared" si="400"/>
        <v>1083</v>
      </c>
      <c r="M246" s="80">
        <f t="shared" si="401"/>
        <v>1252</v>
      </c>
      <c r="N246" s="80">
        <f t="shared" si="402"/>
        <v>1397</v>
      </c>
      <c r="O246" s="80">
        <f t="shared" si="403"/>
        <v>1542</v>
      </c>
      <c r="P246" s="81"/>
      <c r="Q246" s="81"/>
      <c r="R246" s="81"/>
      <c r="S246" s="81"/>
      <c r="T246" s="81"/>
      <c r="U246" s="81"/>
      <c r="V246" s="81"/>
      <c r="W246" s="81"/>
      <c r="X246" s="81"/>
      <c r="Y246" s="81"/>
      <c r="Z246" s="81"/>
      <c r="AA246" s="81"/>
      <c r="AB246" s="81"/>
      <c r="AC246" s="81"/>
      <c r="AD246" s="81"/>
      <c r="AE246" s="81"/>
      <c r="AF246" s="81"/>
    </row>
    <row r="247" spans="1:32">
      <c r="A247" s="76" t="s">
        <v>981</v>
      </c>
      <c r="B247" s="79">
        <f>B243*2*0.7</f>
        <v>36330</v>
      </c>
      <c r="C247" s="79">
        <f t="shared" ref="C247:I247" si="406">C243*2*0.7</f>
        <v>41510</v>
      </c>
      <c r="D247" s="79">
        <f t="shared" si="406"/>
        <v>46690</v>
      </c>
      <c r="E247" s="79">
        <f t="shared" si="406"/>
        <v>51870</v>
      </c>
      <c r="F247" s="79">
        <f t="shared" si="406"/>
        <v>56070</v>
      </c>
      <c r="G247" s="79">
        <f t="shared" si="406"/>
        <v>60199.999999999993</v>
      </c>
      <c r="H247" s="79">
        <f t="shared" si="406"/>
        <v>64329.999999999993</v>
      </c>
      <c r="I247" s="79">
        <f t="shared" si="406"/>
        <v>68530</v>
      </c>
      <c r="J247" s="80">
        <f t="shared" si="398"/>
        <v>908</v>
      </c>
      <c r="K247" s="80">
        <f t="shared" si="399"/>
        <v>973</v>
      </c>
      <c r="L247" s="80">
        <f t="shared" si="400"/>
        <v>1167</v>
      </c>
      <c r="M247" s="80">
        <f t="shared" si="401"/>
        <v>1349</v>
      </c>
      <c r="N247" s="80">
        <f t="shared" si="402"/>
        <v>1505</v>
      </c>
      <c r="O247" s="80">
        <f t="shared" si="403"/>
        <v>1660</v>
      </c>
      <c r="P247" s="81"/>
      <c r="Q247" s="81"/>
      <c r="R247" s="81"/>
      <c r="S247" s="81"/>
      <c r="T247" s="81"/>
      <c r="U247" s="81"/>
      <c r="V247" s="81"/>
      <c r="W247" s="81"/>
      <c r="X247" s="81"/>
      <c r="Y247" s="81"/>
      <c r="Z247" s="81"/>
      <c r="AA247" s="81"/>
      <c r="AB247" s="81"/>
      <c r="AC247" s="81"/>
      <c r="AD247" s="81"/>
      <c r="AE247" s="81"/>
      <c r="AF247" s="81"/>
    </row>
    <row r="248" spans="1:32">
      <c r="A248" s="76" t="s">
        <v>982</v>
      </c>
      <c r="B248" s="79">
        <f>B243*2*0.75</f>
        <v>38925</v>
      </c>
      <c r="C248" s="79">
        <f t="shared" ref="C248:I248" si="407">C243*2*0.75</f>
        <v>44475</v>
      </c>
      <c r="D248" s="79">
        <f t="shared" si="407"/>
        <v>50025</v>
      </c>
      <c r="E248" s="79">
        <f t="shared" si="407"/>
        <v>55575</v>
      </c>
      <c r="F248" s="79">
        <f t="shared" si="407"/>
        <v>60075</v>
      </c>
      <c r="G248" s="79">
        <f t="shared" si="407"/>
        <v>64500</v>
      </c>
      <c r="H248" s="79">
        <f t="shared" si="407"/>
        <v>68925</v>
      </c>
      <c r="I248" s="79">
        <f t="shared" si="407"/>
        <v>73425</v>
      </c>
      <c r="J248" s="80">
        <f t="shared" si="398"/>
        <v>973</v>
      </c>
      <c r="K248" s="80">
        <f t="shared" si="399"/>
        <v>1042</v>
      </c>
      <c r="L248" s="80">
        <f t="shared" si="400"/>
        <v>1250</v>
      </c>
      <c r="M248" s="80">
        <f t="shared" si="401"/>
        <v>1445</v>
      </c>
      <c r="N248" s="80">
        <f t="shared" si="402"/>
        <v>1612</v>
      </c>
      <c r="O248" s="80">
        <f t="shared" si="403"/>
        <v>1779</v>
      </c>
      <c r="P248" s="81"/>
      <c r="Q248" s="81"/>
      <c r="R248" s="81"/>
      <c r="S248" s="81"/>
      <c r="T248" s="81"/>
      <c r="U248" s="81"/>
      <c r="V248" s="81"/>
      <c r="W248" s="81"/>
      <c r="X248" s="81"/>
      <c r="Y248" s="81"/>
      <c r="Z248" s="81"/>
      <c r="AA248" s="81"/>
      <c r="AB248" s="81"/>
      <c r="AC248" s="81"/>
      <c r="AD248" s="81"/>
      <c r="AE248" s="81"/>
      <c r="AF248" s="81"/>
    </row>
    <row r="249" spans="1:32">
      <c r="A249" s="76" t="s">
        <v>983</v>
      </c>
      <c r="B249" s="79">
        <f>B243*2*0.8</f>
        <v>41520</v>
      </c>
      <c r="C249" s="79">
        <f t="shared" ref="C249:I249" si="408">C243*2*0.8</f>
        <v>47440</v>
      </c>
      <c r="D249" s="79">
        <f t="shared" si="408"/>
        <v>53360</v>
      </c>
      <c r="E249" s="79">
        <f t="shared" si="408"/>
        <v>59280</v>
      </c>
      <c r="F249" s="79">
        <f t="shared" si="408"/>
        <v>64080</v>
      </c>
      <c r="G249" s="79">
        <f t="shared" si="408"/>
        <v>68800</v>
      </c>
      <c r="H249" s="79">
        <f t="shared" si="408"/>
        <v>73520</v>
      </c>
      <c r="I249" s="79">
        <f t="shared" si="408"/>
        <v>78320</v>
      </c>
      <c r="J249" s="80">
        <f t="shared" si="398"/>
        <v>1038</v>
      </c>
      <c r="K249" s="80">
        <f t="shared" si="399"/>
        <v>1112</v>
      </c>
      <c r="L249" s="80">
        <f t="shared" si="400"/>
        <v>1334</v>
      </c>
      <c r="M249" s="80">
        <f t="shared" si="401"/>
        <v>1542</v>
      </c>
      <c r="N249" s="80">
        <f t="shared" si="402"/>
        <v>1720</v>
      </c>
      <c r="O249" s="80">
        <f t="shared" si="403"/>
        <v>1898</v>
      </c>
      <c r="P249" s="81"/>
      <c r="Q249" s="81"/>
      <c r="R249" s="81"/>
      <c r="S249" s="81"/>
      <c r="T249" s="81"/>
      <c r="U249" s="81"/>
      <c r="V249" s="81"/>
      <c r="W249" s="81"/>
      <c r="X249" s="81"/>
      <c r="Y249" s="81"/>
      <c r="Z249" s="81"/>
      <c r="AA249" s="81"/>
      <c r="AB249" s="81"/>
      <c r="AC249" s="81"/>
      <c r="AD249" s="81"/>
      <c r="AE249" s="81"/>
      <c r="AF249" s="81"/>
    </row>
    <row r="250" spans="1:32">
      <c r="A250" s="76" t="s">
        <v>984</v>
      </c>
      <c r="B250" s="79">
        <f>B243*2*0.9</f>
        <v>46710</v>
      </c>
      <c r="C250" s="79">
        <f t="shared" ref="C250:I250" si="409">C243*2*0.9</f>
        <v>53370</v>
      </c>
      <c r="D250" s="79">
        <f t="shared" si="409"/>
        <v>60030</v>
      </c>
      <c r="E250" s="79">
        <f t="shared" si="409"/>
        <v>66690</v>
      </c>
      <c r="F250" s="79">
        <f t="shared" si="409"/>
        <v>72090</v>
      </c>
      <c r="G250" s="79">
        <f t="shared" si="409"/>
        <v>77400</v>
      </c>
      <c r="H250" s="79">
        <f t="shared" si="409"/>
        <v>82710</v>
      </c>
      <c r="I250" s="79">
        <f t="shared" si="409"/>
        <v>88110</v>
      </c>
      <c r="J250" s="80">
        <f t="shared" si="398"/>
        <v>1167</v>
      </c>
      <c r="K250" s="80">
        <f t="shared" si="399"/>
        <v>1251</v>
      </c>
      <c r="L250" s="80">
        <f t="shared" si="400"/>
        <v>1500</v>
      </c>
      <c r="M250" s="80">
        <f t="shared" si="401"/>
        <v>1734</v>
      </c>
      <c r="N250" s="80">
        <f t="shared" si="402"/>
        <v>1935</v>
      </c>
      <c r="O250" s="80">
        <f t="shared" si="403"/>
        <v>2135</v>
      </c>
      <c r="P250" s="81"/>
      <c r="Q250" s="81"/>
      <c r="R250" s="81"/>
      <c r="S250" s="81"/>
      <c r="T250" s="81"/>
      <c r="U250" s="81"/>
      <c r="V250" s="81"/>
      <c r="W250" s="81"/>
      <c r="X250" s="81"/>
      <c r="Y250" s="81"/>
      <c r="Z250" s="81"/>
      <c r="AA250" s="81"/>
      <c r="AB250" s="81"/>
      <c r="AC250" s="81"/>
      <c r="AD250" s="81"/>
      <c r="AE250" s="81"/>
      <c r="AF250" s="81"/>
    </row>
    <row r="251" spans="1:32">
      <c r="A251" s="76" t="s">
        <v>985</v>
      </c>
      <c r="B251" s="79">
        <f>B243*2</f>
        <v>51900</v>
      </c>
      <c r="C251" s="79">
        <f t="shared" ref="C251:I251" si="410">C243*2</f>
        <v>59300</v>
      </c>
      <c r="D251" s="79">
        <f t="shared" si="410"/>
        <v>66700</v>
      </c>
      <c r="E251" s="79">
        <f t="shared" si="410"/>
        <v>74100</v>
      </c>
      <c r="F251" s="79">
        <f t="shared" si="410"/>
        <v>80100</v>
      </c>
      <c r="G251" s="79">
        <f t="shared" si="410"/>
        <v>86000</v>
      </c>
      <c r="H251" s="79">
        <f t="shared" si="410"/>
        <v>91900</v>
      </c>
      <c r="I251" s="79">
        <f t="shared" si="410"/>
        <v>97900</v>
      </c>
      <c r="J251" s="80">
        <f>J243*2</f>
        <v>1296</v>
      </c>
      <c r="K251" s="80">
        <f t="shared" ref="K251:O251" si="411">K243*2</f>
        <v>1390</v>
      </c>
      <c r="L251" s="80">
        <f t="shared" si="411"/>
        <v>1666</v>
      </c>
      <c r="M251" s="80">
        <f t="shared" si="411"/>
        <v>1926</v>
      </c>
      <c r="N251" s="80">
        <f t="shared" si="411"/>
        <v>2150</v>
      </c>
      <c r="O251" s="80">
        <f t="shared" si="411"/>
        <v>2372</v>
      </c>
      <c r="P251" s="81"/>
      <c r="Q251" s="81"/>
      <c r="R251" s="81"/>
      <c r="S251" s="81"/>
      <c r="T251" s="81"/>
      <c r="U251" s="81"/>
      <c r="V251" s="81"/>
      <c r="W251" s="81"/>
      <c r="X251" s="81"/>
      <c r="Y251" s="81"/>
      <c r="Z251" s="81"/>
      <c r="AA251" s="81"/>
      <c r="AB251" s="81"/>
      <c r="AC251" s="81"/>
      <c r="AD251" s="81"/>
      <c r="AE251" s="81"/>
      <c r="AF251" s="81"/>
    </row>
    <row r="252" spans="1:32">
      <c r="A252" s="76" t="s">
        <v>986</v>
      </c>
      <c r="B252" s="79">
        <f>B243*2*1.1</f>
        <v>57090.000000000007</v>
      </c>
      <c r="C252" s="79">
        <f t="shared" ref="C252:I252" si="412">C243*2*1.1</f>
        <v>65230.000000000007</v>
      </c>
      <c r="D252" s="79">
        <f t="shared" si="412"/>
        <v>73370</v>
      </c>
      <c r="E252" s="79">
        <f t="shared" si="412"/>
        <v>81510</v>
      </c>
      <c r="F252" s="79">
        <f t="shared" si="412"/>
        <v>88110</v>
      </c>
      <c r="G252" s="79">
        <f t="shared" si="412"/>
        <v>94600.000000000015</v>
      </c>
      <c r="H252" s="79">
        <f t="shared" si="412"/>
        <v>101090.00000000001</v>
      </c>
      <c r="I252" s="79">
        <f t="shared" si="412"/>
        <v>107690.00000000001</v>
      </c>
      <c r="J252" s="80">
        <f t="shared" ref="J252:J260" si="413">TRUNC(B252/12*0.3)</f>
        <v>1427</v>
      </c>
      <c r="K252" s="80">
        <f t="shared" ref="K252:K260" si="414">TRUNC((B252+C252)/2/12*0.3)</f>
        <v>1529</v>
      </c>
      <c r="L252" s="80">
        <f t="shared" ref="L252:L260" si="415">TRUNC((D252)/12*0.3)</f>
        <v>1834</v>
      </c>
      <c r="M252" s="80">
        <f t="shared" ref="M252:M260" si="416">TRUNC(((E252+F252)/2)/12*0.3)</f>
        <v>2120</v>
      </c>
      <c r="N252" s="80">
        <f t="shared" ref="N252:N260" si="417">TRUNC(G252/12*0.3)</f>
        <v>2365</v>
      </c>
      <c r="O252" s="80">
        <f t="shared" ref="O252:O260" si="418">TRUNC(((H252+I252)/2)/12*0.3)</f>
        <v>2609</v>
      </c>
      <c r="P252" s="81"/>
      <c r="Q252" s="81"/>
      <c r="R252" s="81"/>
      <c r="S252" s="81"/>
      <c r="T252" s="81"/>
      <c r="U252" s="81"/>
      <c r="V252" s="81"/>
      <c r="W252" s="81"/>
      <c r="X252" s="81"/>
      <c r="Y252" s="81"/>
      <c r="Z252" s="81"/>
      <c r="AA252" s="81"/>
      <c r="AB252" s="81"/>
      <c r="AC252" s="81"/>
      <c r="AD252" s="81"/>
      <c r="AE252" s="81"/>
      <c r="AF252" s="81"/>
    </row>
    <row r="253" spans="1:32">
      <c r="A253" s="76" t="s">
        <v>987</v>
      </c>
      <c r="B253" s="79">
        <f>B243*2*1.2</f>
        <v>62280</v>
      </c>
      <c r="C253" s="79">
        <f t="shared" ref="C253:I253" si="419">C243*2*1.2</f>
        <v>71160</v>
      </c>
      <c r="D253" s="79">
        <f t="shared" si="419"/>
        <v>80040</v>
      </c>
      <c r="E253" s="79">
        <f t="shared" si="419"/>
        <v>88920</v>
      </c>
      <c r="F253" s="79">
        <f t="shared" si="419"/>
        <v>96120</v>
      </c>
      <c r="G253" s="79">
        <f t="shared" si="419"/>
        <v>103200</v>
      </c>
      <c r="H253" s="79">
        <f t="shared" si="419"/>
        <v>110280</v>
      </c>
      <c r="I253" s="79">
        <f t="shared" si="419"/>
        <v>117480</v>
      </c>
      <c r="J253" s="80">
        <f t="shared" si="413"/>
        <v>1557</v>
      </c>
      <c r="K253" s="80">
        <f t="shared" si="414"/>
        <v>1668</v>
      </c>
      <c r="L253" s="80">
        <f t="shared" si="415"/>
        <v>2001</v>
      </c>
      <c r="M253" s="80">
        <f t="shared" si="416"/>
        <v>2313</v>
      </c>
      <c r="N253" s="80">
        <f t="shared" si="417"/>
        <v>2580</v>
      </c>
      <c r="O253" s="80">
        <f t="shared" si="418"/>
        <v>2847</v>
      </c>
      <c r="P253" s="81"/>
      <c r="Q253" s="81"/>
      <c r="R253" s="81"/>
      <c r="S253" s="81"/>
      <c r="T253" s="81"/>
      <c r="U253" s="81"/>
      <c r="V253" s="81"/>
      <c r="W253" s="81"/>
      <c r="X253" s="81"/>
      <c r="Y253" s="81"/>
      <c r="Z253" s="81"/>
      <c r="AA253" s="81"/>
      <c r="AB253" s="81"/>
      <c r="AC253" s="81"/>
      <c r="AD253" s="81"/>
      <c r="AE253" s="81"/>
      <c r="AF253" s="81"/>
    </row>
    <row r="254" spans="1:32">
      <c r="A254" s="76" t="s">
        <v>988</v>
      </c>
      <c r="B254" s="79">
        <f>B261*2*0.15</f>
        <v>7320</v>
      </c>
      <c r="C254" s="79">
        <f>C261*2*0.15</f>
        <v>8370</v>
      </c>
      <c r="D254" s="79">
        <f>D261*2*0.15</f>
        <v>9420</v>
      </c>
      <c r="E254" s="79">
        <f>E261*2*0.15</f>
        <v>10455</v>
      </c>
      <c r="F254" s="79">
        <f>F261*2*0.15</f>
        <v>11295</v>
      </c>
      <c r="G254" s="79">
        <f t="shared" ref="G254:I254" si="420">G261*2*0.15</f>
        <v>12135</v>
      </c>
      <c r="H254" s="79">
        <f t="shared" si="420"/>
        <v>12975</v>
      </c>
      <c r="I254" s="79">
        <f t="shared" si="420"/>
        <v>13815</v>
      </c>
      <c r="J254" s="80">
        <f t="shared" si="413"/>
        <v>183</v>
      </c>
      <c r="K254" s="80">
        <f t="shared" si="414"/>
        <v>196</v>
      </c>
      <c r="L254" s="80">
        <f t="shared" si="415"/>
        <v>235</v>
      </c>
      <c r="M254" s="80">
        <f t="shared" si="416"/>
        <v>271</v>
      </c>
      <c r="N254" s="80">
        <f t="shared" si="417"/>
        <v>303</v>
      </c>
      <c r="O254" s="80">
        <f t="shared" si="418"/>
        <v>334</v>
      </c>
      <c r="P254" s="81"/>
      <c r="Q254" s="81"/>
      <c r="R254" s="81"/>
      <c r="S254" s="81"/>
      <c r="T254" s="81"/>
      <c r="U254" s="81"/>
      <c r="V254" s="81"/>
      <c r="W254" s="81"/>
      <c r="X254" s="81"/>
      <c r="Y254" s="81"/>
      <c r="Z254" s="81"/>
      <c r="AA254" s="81"/>
      <c r="AB254" s="81"/>
      <c r="AC254" s="81"/>
      <c r="AD254" s="81"/>
      <c r="AE254" s="81"/>
      <c r="AF254" s="81"/>
    </row>
    <row r="255" spans="1:32">
      <c r="A255" s="76" t="s">
        <v>989</v>
      </c>
      <c r="B255" s="79">
        <f>B261*2*0.2</f>
        <v>9760</v>
      </c>
      <c r="C255" s="79">
        <f t="shared" ref="C255:I255" si="421">C261*2*0.2</f>
        <v>11160</v>
      </c>
      <c r="D255" s="79">
        <f t="shared" si="421"/>
        <v>12560</v>
      </c>
      <c r="E255" s="79">
        <f t="shared" si="421"/>
        <v>13940</v>
      </c>
      <c r="F255" s="79">
        <f t="shared" si="421"/>
        <v>15060</v>
      </c>
      <c r="G255" s="79">
        <f t="shared" si="421"/>
        <v>16180</v>
      </c>
      <c r="H255" s="79">
        <f t="shared" si="421"/>
        <v>17300</v>
      </c>
      <c r="I255" s="79">
        <f t="shared" si="421"/>
        <v>18420</v>
      </c>
      <c r="J255" s="80">
        <f t="shared" si="413"/>
        <v>244</v>
      </c>
      <c r="K255" s="80">
        <f t="shared" si="414"/>
        <v>261</v>
      </c>
      <c r="L255" s="80">
        <f t="shared" si="415"/>
        <v>314</v>
      </c>
      <c r="M255" s="80">
        <f t="shared" si="416"/>
        <v>362</v>
      </c>
      <c r="N255" s="80">
        <f t="shared" si="417"/>
        <v>404</v>
      </c>
      <c r="O255" s="80">
        <f t="shared" si="418"/>
        <v>446</v>
      </c>
      <c r="P255" s="81"/>
      <c r="Q255" s="81"/>
      <c r="R255" s="81"/>
      <c r="S255" s="81"/>
      <c r="T255" s="81"/>
      <c r="U255" s="81"/>
      <c r="V255" s="81"/>
      <c r="W255" s="81"/>
      <c r="X255" s="81"/>
      <c r="Y255" s="81"/>
      <c r="Z255" s="81"/>
      <c r="AA255" s="81"/>
      <c r="AB255" s="81"/>
      <c r="AC255" s="81"/>
      <c r="AD255" s="81"/>
      <c r="AE255" s="81"/>
      <c r="AF255" s="81"/>
    </row>
    <row r="256" spans="1:32">
      <c r="A256" s="76" t="s">
        <v>990</v>
      </c>
      <c r="B256" s="79">
        <f>B261*2*0.25</f>
        <v>12200</v>
      </c>
      <c r="C256" s="79">
        <f t="shared" ref="C256:I256" si="422">C261*2*0.25</f>
        <v>13950</v>
      </c>
      <c r="D256" s="79">
        <f t="shared" si="422"/>
        <v>15700</v>
      </c>
      <c r="E256" s="79">
        <f t="shared" si="422"/>
        <v>17425</v>
      </c>
      <c r="F256" s="79">
        <f t="shared" si="422"/>
        <v>18825</v>
      </c>
      <c r="G256" s="79">
        <f t="shared" si="422"/>
        <v>20225</v>
      </c>
      <c r="H256" s="79">
        <f t="shared" si="422"/>
        <v>21625</v>
      </c>
      <c r="I256" s="79">
        <f t="shared" si="422"/>
        <v>23025</v>
      </c>
      <c r="J256" s="80">
        <f t="shared" si="413"/>
        <v>305</v>
      </c>
      <c r="K256" s="80">
        <f t="shared" si="414"/>
        <v>326</v>
      </c>
      <c r="L256" s="80">
        <f t="shared" si="415"/>
        <v>392</v>
      </c>
      <c r="M256" s="80">
        <f t="shared" si="416"/>
        <v>453</v>
      </c>
      <c r="N256" s="80">
        <f t="shared" si="417"/>
        <v>505</v>
      </c>
      <c r="O256" s="80">
        <f t="shared" si="418"/>
        <v>558</v>
      </c>
      <c r="P256" s="81"/>
      <c r="Q256" s="81"/>
      <c r="R256" s="81"/>
      <c r="S256" s="81"/>
      <c r="T256" s="81"/>
      <c r="U256" s="81"/>
      <c r="V256" s="81"/>
      <c r="W256" s="81"/>
      <c r="X256" s="81"/>
      <c r="Y256" s="81"/>
      <c r="Z256" s="81"/>
      <c r="AA256" s="81"/>
      <c r="AB256" s="81"/>
      <c r="AC256" s="81"/>
      <c r="AD256" s="81"/>
      <c r="AE256" s="81"/>
      <c r="AF256" s="81"/>
    </row>
    <row r="257" spans="1:32">
      <c r="A257" s="76" t="s">
        <v>991</v>
      </c>
      <c r="B257" s="79">
        <f>B261*2*0.3</f>
        <v>14640</v>
      </c>
      <c r="C257" s="79">
        <f t="shared" ref="C257:I257" si="423">C261*2*0.3</f>
        <v>16740</v>
      </c>
      <c r="D257" s="79">
        <f t="shared" si="423"/>
        <v>18840</v>
      </c>
      <c r="E257" s="79">
        <f t="shared" si="423"/>
        <v>20910</v>
      </c>
      <c r="F257" s="79">
        <f t="shared" si="423"/>
        <v>22590</v>
      </c>
      <c r="G257" s="79">
        <f t="shared" si="423"/>
        <v>24270</v>
      </c>
      <c r="H257" s="79">
        <f t="shared" si="423"/>
        <v>25950</v>
      </c>
      <c r="I257" s="79">
        <f t="shared" si="423"/>
        <v>27630</v>
      </c>
      <c r="J257" s="80">
        <f t="shared" si="413"/>
        <v>366</v>
      </c>
      <c r="K257" s="80">
        <f t="shared" si="414"/>
        <v>392</v>
      </c>
      <c r="L257" s="80">
        <f t="shared" si="415"/>
        <v>471</v>
      </c>
      <c r="M257" s="80">
        <f t="shared" si="416"/>
        <v>543</v>
      </c>
      <c r="N257" s="80">
        <f t="shared" si="417"/>
        <v>606</v>
      </c>
      <c r="O257" s="80">
        <f t="shared" si="418"/>
        <v>669</v>
      </c>
      <c r="P257" s="81"/>
      <c r="Q257" s="81"/>
      <c r="R257" s="81"/>
      <c r="S257" s="81"/>
      <c r="T257" s="81"/>
      <c r="U257" s="81"/>
      <c r="V257" s="81"/>
      <c r="W257" s="81"/>
      <c r="X257" s="81"/>
      <c r="Y257" s="81"/>
      <c r="Z257" s="81"/>
      <c r="AA257" s="81"/>
      <c r="AB257" s="81"/>
      <c r="AC257" s="81"/>
      <c r="AD257" s="81"/>
      <c r="AE257" s="81"/>
      <c r="AF257" s="81"/>
    </row>
    <row r="258" spans="1:32">
      <c r="A258" s="76" t="s">
        <v>992</v>
      </c>
      <c r="B258" s="79">
        <f>B261*2*0.35</f>
        <v>17080</v>
      </c>
      <c r="C258" s="79">
        <f t="shared" ref="C258:I258" si="424">C261*2*0.35</f>
        <v>19530</v>
      </c>
      <c r="D258" s="79">
        <f t="shared" si="424"/>
        <v>21980</v>
      </c>
      <c r="E258" s="79">
        <f t="shared" si="424"/>
        <v>24395</v>
      </c>
      <c r="F258" s="79">
        <f t="shared" si="424"/>
        <v>26355</v>
      </c>
      <c r="G258" s="79">
        <f t="shared" si="424"/>
        <v>28315</v>
      </c>
      <c r="H258" s="79">
        <f t="shared" si="424"/>
        <v>30274.999999999996</v>
      </c>
      <c r="I258" s="79">
        <f t="shared" si="424"/>
        <v>32234.999999999996</v>
      </c>
      <c r="J258" s="80">
        <f t="shared" si="413"/>
        <v>427</v>
      </c>
      <c r="K258" s="80">
        <f t="shared" si="414"/>
        <v>457</v>
      </c>
      <c r="L258" s="80">
        <f t="shared" si="415"/>
        <v>549</v>
      </c>
      <c r="M258" s="80">
        <f t="shared" si="416"/>
        <v>634</v>
      </c>
      <c r="N258" s="80">
        <f t="shared" si="417"/>
        <v>707</v>
      </c>
      <c r="O258" s="80">
        <f t="shared" si="418"/>
        <v>781</v>
      </c>
      <c r="P258" s="81"/>
      <c r="Q258" s="81"/>
      <c r="R258" s="81"/>
      <c r="S258" s="81"/>
      <c r="T258" s="81"/>
      <c r="U258" s="81"/>
      <c r="V258" s="81"/>
      <c r="W258" s="81"/>
      <c r="X258" s="81"/>
      <c r="Y258" s="81"/>
      <c r="Z258" s="81"/>
      <c r="AA258" s="81"/>
      <c r="AB258" s="81"/>
      <c r="AC258" s="81"/>
      <c r="AD258" s="81"/>
      <c r="AE258" s="81"/>
      <c r="AF258" s="81"/>
    </row>
    <row r="259" spans="1:32">
      <c r="A259" s="76" t="s">
        <v>993</v>
      </c>
      <c r="B259" s="79">
        <f>B261*2*0.4</f>
        <v>19520</v>
      </c>
      <c r="C259" s="79">
        <f t="shared" ref="C259:I259" si="425">C261*2*0.4</f>
        <v>22320</v>
      </c>
      <c r="D259" s="79">
        <f t="shared" si="425"/>
        <v>25120</v>
      </c>
      <c r="E259" s="79">
        <f t="shared" si="425"/>
        <v>27880</v>
      </c>
      <c r="F259" s="79">
        <f t="shared" si="425"/>
        <v>30120</v>
      </c>
      <c r="G259" s="79">
        <f t="shared" si="425"/>
        <v>32360</v>
      </c>
      <c r="H259" s="79">
        <f t="shared" si="425"/>
        <v>34600</v>
      </c>
      <c r="I259" s="79">
        <f t="shared" si="425"/>
        <v>36840</v>
      </c>
      <c r="J259" s="80">
        <f t="shared" si="413"/>
        <v>488</v>
      </c>
      <c r="K259" s="80">
        <f t="shared" si="414"/>
        <v>523</v>
      </c>
      <c r="L259" s="80">
        <f t="shared" si="415"/>
        <v>628</v>
      </c>
      <c r="M259" s="80">
        <f t="shared" si="416"/>
        <v>725</v>
      </c>
      <c r="N259" s="80">
        <f t="shared" si="417"/>
        <v>809</v>
      </c>
      <c r="O259" s="80">
        <f t="shared" si="418"/>
        <v>893</v>
      </c>
      <c r="P259" s="81"/>
      <c r="Q259" s="81"/>
      <c r="R259" s="81"/>
      <c r="S259" s="81"/>
      <c r="T259" s="81"/>
      <c r="U259" s="81"/>
      <c r="V259" s="81"/>
      <c r="W259" s="81"/>
      <c r="X259" s="81"/>
      <c r="Y259" s="81"/>
      <c r="Z259" s="81"/>
      <c r="AA259" s="81"/>
      <c r="AB259" s="81"/>
      <c r="AC259" s="81"/>
      <c r="AD259" s="81"/>
      <c r="AE259" s="81"/>
      <c r="AF259" s="81"/>
    </row>
    <row r="260" spans="1:32">
      <c r="A260" s="76" t="s">
        <v>994</v>
      </c>
      <c r="B260" s="79">
        <f>B261*2*0.45</f>
        <v>21960</v>
      </c>
      <c r="C260" s="79">
        <f t="shared" ref="C260:I260" si="426">C261*2*0.45</f>
        <v>25110</v>
      </c>
      <c r="D260" s="79">
        <f t="shared" si="426"/>
        <v>28260</v>
      </c>
      <c r="E260" s="79">
        <f t="shared" si="426"/>
        <v>31365</v>
      </c>
      <c r="F260" s="79">
        <f t="shared" si="426"/>
        <v>33885</v>
      </c>
      <c r="G260" s="79">
        <f t="shared" si="426"/>
        <v>36405</v>
      </c>
      <c r="H260" s="79">
        <f t="shared" si="426"/>
        <v>38925</v>
      </c>
      <c r="I260" s="79">
        <f t="shared" si="426"/>
        <v>41445</v>
      </c>
      <c r="J260" s="80">
        <f t="shared" si="413"/>
        <v>549</v>
      </c>
      <c r="K260" s="80">
        <f t="shared" si="414"/>
        <v>588</v>
      </c>
      <c r="L260" s="80">
        <f t="shared" si="415"/>
        <v>706</v>
      </c>
      <c r="M260" s="80">
        <f t="shared" si="416"/>
        <v>815</v>
      </c>
      <c r="N260" s="80">
        <f t="shared" si="417"/>
        <v>910</v>
      </c>
      <c r="O260" s="80">
        <f t="shared" si="418"/>
        <v>1004</v>
      </c>
      <c r="P260" s="81"/>
      <c r="Q260" s="81"/>
      <c r="R260" s="81"/>
      <c r="S260" s="81"/>
      <c r="T260" s="81"/>
      <c r="U260" s="81"/>
      <c r="V260" s="81"/>
      <c r="W260" s="81"/>
      <c r="X260" s="81"/>
      <c r="Y260" s="81"/>
      <c r="Z260" s="81"/>
      <c r="AA260" s="81"/>
      <c r="AB260" s="81"/>
      <c r="AC260" s="81"/>
      <c r="AD260" s="81"/>
      <c r="AE260" s="81"/>
      <c r="AF260" s="81"/>
    </row>
    <row r="261" spans="1:32">
      <c r="A261" s="82" t="s">
        <v>995</v>
      </c>
      <c r="B261" s="84">
        <f>'MTSP 50% Income Limits '!B16</f>
        <v>24400</v>
      </c>
      <c r="C261" s="84">
        <f>'MTSP 50% Income Limits '!C16</f>
        <v>27900</v>
      </c>
      <c r="D261" s="84">
        <f>'MTSP 50% Income Limits '!D16</f>
        <v>31400</v>
      </c>
      <c r="E261" s="84">
        <f>'MTSP 50% Income Limits '!E16</f>
        <v>34850</v>
      </c>
      <c r="F261" s="84">
        <f>'MTSP 50% Income Limits '!F16</f>
        <v>37650</v>
      </c>
      <c r="G261" s="84">
        <f>'MTSP 50% Income Limits '!G16</f>
        <v>40450</v>
      </c>
      <c r="H261" s="84">
        <f>'MTSP 50% Income Limits '!H16</f>
        <v>43250</v>
      </c>
      <c r="I261" s="84">
        <f>'MTSP 50% Income Limits '!I16</f>
        <v>46050</v>
      </c>
      <c r="J261" s="83">
        <f>TRUNC(B261/12*0.3)</f>
        <v>610</v>
      </c>
      <c r="K261" s="83">
        <f>TRUNC((B261+C261)/2/12*0.3)</f>
        <v>653</v>
      </c>
      <c r="L261" s="83">
        <f>TRUNC((D261)/12*0.3)</f>
        <v>785</v>
      </c>
      <c r="M261" s="83">
        <f>TRUNC(((E261+F261)/2)/12*0.3)</f>
        <v>906</v>
      </c>
      <c r="N261" s="83">
        <f>TRUNC(G261/12*0.3)</f>
        <v>1011</v>
      </c>
      <c r="O261" s="83">
        <f>TRUNC(((H261+I261)/2)/12*0.3)</f>
        <v>1116</v>
      </c>
      <c r="P261" s="81"/>
      <c r="Q261" s="81"/>
      <c r="R261" s="81"/>
      <c r="S261" s="81"/>
      <c r="T261" s="81"/>
      <c r="U261" s="81"/>
      <c r="V261" s="81"/>
      <c r="W261" s="81"/>
      <c r="X261" s="81"/>
      <c r="Y261" s="81"/>
      <c r="Z261" s="81"/>
      <c r="AA261" s="81"/>
      <c r="AB261" s="81"/>
      <c r="AC261" s="81"/>
      <c r="AD261" s="81"/>
      <c r="AE261" s="81"/>
      <c r="AF261" s="81"/>
    </row>
    <row r="262" spans="1:32">
      <c r="A262" s="76" t="s">
        <v>996</v>
      </c>
      <c r="B262" s="79">
        <f>B261*2*0.55</f>
        <v>26840.000000000004</v>
      </c>
      <c r="C262" s="79">
        <f t="shared" ref="C262:I262" si="427">C261*2*0.55</f>
        <v>30690.000000000004</v>
      </c>
      <c r="D262" s="79">
        <f t="shared" si="427"/>
        <v>34540</v>
      </c>
      <c r="E262" s="79">
        <f t="shared" si="427"/>
        <v>38335</v>
      </c>
      <c r="F262" s="79">
        <f t="shared" si="427"/>
        <v>41415</v>
      </c>
      <c r="G262" s="79">
        <f t="shared" si="427"/>
        <v>44495</v>
      </c>
      <c r="H262" s="79">
        <f t="shared" si="427"/>
        <v>47575.000000000007</v>
      </c>
      <c r="I262" s="79">
        <f t="shared" si="427"/>
        <v>50655.000000000007</v>
      </c>
      <c r="J262" s="80">
        <f t="shared" ref="J262:J268" si="428">TRUNC(B262/12*0.3)</f>
        <v>671</v>
      </c>
      <c r="K262" s="80">
        <f t="shared" ref="K262:K268" si="429">TRUNC((B262+C262)/2/12*0.3)</f>
        <v>719</v>
      </c>
      <c r="L262" s="80">
        <f t="shared" ref="L262:L268" si="430">TRUNC((D262)/12*0.3)</f>
        <v>863</v>
      </c>
      <c r="M262" s="80">
        <f t="shared" ref="M262:M268" si="431">TRUNC(((E262+F262)/2)/12*0.3)</f>
        <v>996</v>
      </c>
      <c r="N262" s="80">
        <f t="shared" ref="N262:N268" si="432">TRUNC(G262/12*0.3)</f>
        <v>1112</v>
      </c>
      <c r="O262" s="80">
        <f t="shared" ref="O262:O268" si="433">TRUNC(((H262+I262)/2)/12*0.3)</f>
        <v>1227</v>
      </c>
      <c r="P262" s="81"/>
      <c r="Q262" s="81"/>
      <c r="R262" s="81"/>
      <c r="S262" s="81"/>
      <c r="T262" s="81"/>
      <c r="U262" s="81"/>
      <c r="V262" s="81"/>
      <c r="W262" s="81"/>
      <c r="X262" s="81"/>
      <c r="Y262" s="81"/>
      <c r="Z262" s="81"/>
      <c r="AA262" s="81"/>
      <c r="AB262" s="81"/>
      <c r="AC262" s="81"/>
      <c r="AD262" s="81"/>
      <c r="AE262" s="81"/>
      <c r="AF262" s="81"/>
    </row>
    <row r="263" spans="1:32">
      <c r="A263" s="76" t="s">
        <v>997</v>
      </c>
      <c r="B263" s="79">
        <f>B261*2*0.6</f>
        <v>29280</v>
      </c>
      <c r="C263" s="79">
        <f t="shared" ref="C263:I263" si="434">C261*2*0.6</f>
        <v>33480</v>
      </c>
      <c r="D263" s="79">
        <f t="shared" si="434"/>
        <v>37680</v>
      </c>
      <c r="E263" s="79">
        <f t="shared" si="434"/>
        <v>41820</v>
      </c>
      <c r="F263" s="79">
        <f t="shared" si="434"/>
        <v>45180</v>
      </c>
      <c r="G263" s="79">
        <f t="shared" si="434"/>
        <v>48540</v>
      </c>
      <c r="H263" s="79">
        <f t="shared" si="434"/>
        <v>51900</v>
      </c>
      <c r="I263" s="79">
        <f t="shared" si="434"/>
        <v>55260</v>
      </c>
      <c r="J263" s="80">
        <f t="shared" si="428"/>
        <v>732</v>
      </c>
      <c r="K263" s="80">
        <f t="shared" si="429"/>
        <v>784</v>
      </c>
      <c r="L263" s="80">
        <f t="shared" si="430"/>
        <v>942</v>
      </c>
      <c r="M263" s="80">
        <f t="shared" si="431"/>
        <v>1087</v>
      </c>
      <c r="N263" s="80">
        <f t="shared" si="432"/>
        <v>1213</v>
      </c>
      <c r="O263" s="80">
        <f t="shared" si="433"/>
        <v>1339</v>
      </c>
      <c r="P263" s="81"/>
      <c r="Q263" s="81"/>
      <c r="R263" s="81"/>
      <c r="S263" s="81"/>
      <c r="T263" s="81"/>
      <c r="U263" s="81"/>
      <c r="V263" s="81"/>
      <c r="W263" s="81"/>
      <c r="X263" s="81"/>
      <c r="Y263" s="81"/>
      <c r="Z263" s="81"/>
      <c r="AA263" s="81"/>
      <c r="AB263" s="81"/>
      <c r="AC263" s="81"/>
      <c r="AD263" s="81"/>
      <c r="AE263" s="81"/>
      <c r="AF263" s="81"/>
    </row>
    <row r="264" spans="1:32">
      <c r="A264" s="76" t="s">
        <v>998</v>
      </c>
      <c r="B264" s="79">
        <f>B261*2*0.65</f>
        <v>31720</v>
      </c>
      <c r="C264" s="79">
        <f t="shared" ref="C264:I264" si="435">C261*2*0.65</f>
        <v>36270</v>
      </c>
      <c r="D264" s="79">
        <f t="shared" si="435"/>
        <v>40820</v>
      </c>
      <c r="E264" s="79">
        <f t="shared" si="435"/>
        <v>45305</v>
      </c>
      <c r="F264" s="79">
        <f t="shared" si="435"/>
        <v>48945</v>
      </c>
      <c r="G264" s="79">
        <f t="shared" si="435"/>
        <v>52585</v>
      </c>
      <c r="H264" s="79">
        <f t="shared" si="435"/>
        <v>56225</v>
      </c>
      <c r="I264" s="79">
        <f t="shared" si="435"/>
        <v>59865</v>
      </c>
      <c r="J264" s="80">
        <f t="shared" si="428"/>
        <v>793</v>
      </c>
      <c r="K264" s="80">
        <f t="shared" si="429"/>
        <v>849</v>
      </c>
      <c r="L264" s="80">
        <f t="shared" si="430"/>
        <v>1020</v>
      </c>
      <c r="M264" s="80">
        <f t="shared" si="431"/>
        <v>1178</v>
      </c>
      <c r="N264" s="80">
        <f t="shared" si="432"/>
        <v>1314</v>
      </c>
      <c r="O264" s="80">
        <f t="shared" si="433"/>
        <v>1451</v>
      </c>
      <c r="P264" s="81"/>
      <c r="Q264" s="81"/>
      <c r="R264" s="81"/>
      <c r="S264" s="81"/>
      <c r="T264" s="81"/>
      <c r="U264" s="81"/>
      <c r="V264" s="81"/>
      <c r="W264" s="81"/>
      <c r="X264" s="81"/>
      <c r="Y264" s="81"/>
      <c r="Z264" s="81"/>
      <c r="AA264" s="81"/>
      <c r="AB264" s="81"/>
      <c r="AC264" s="81"/>
      <c r="AD264" s="81"/>
      <c r="AE264" s="81"/>
      <c r="AF264" s="81"/>
    </row>
    <row r="265" spans="1:32">
      <c r="A265" s="76" t="s">
        <v>999</v>
      </c>
      <c r="B265" s="79">
        <f>B261*2*0.7</f>
        <v>34160</v>
      </c>
      <c r="C265" s="79">
        <f t="shared" ref="C265:I265" si="436">C261*2*0.7</f>
        <v>39060</v>
      </c>
      <c r="D265" s="79">
        <f t="shared" si="436"/>
        <v>43960</v>
      </c>
      <c r="E265" s="79">
        <f t="shared" si="436"/>
        <v>48790</v>
      </c>
      <c r="F265" s="79">
        <f t="shared" si="436"/>
        <v>52710</v>
      </c>
      <c r="G265" s="79">
        <f t="shared" si="436"/>
        <v>56630</v>
      </c>
      <c r="H265" s="79">
        <f t="shared" si="436"/>
        <v>60549.999999999993</v>
      </c>
      <c r="I265" s="79">
        <f t="shared" si="436"/>
        <v>64469.999999999993</v>
      </c>
      <c r="J265" s="80">
        <f t="shared" si="428"/>
        <v>854</v>
      </c>
      <c r="K265" s="80">
        <f t="shared" si="429"/>
        <v>915</v>
      </c>
      <c r="L265" s="80">
        <f t="shared" si="430"/>
        <v>1099</v>
      </c>
      <c r="M265" s="80">
        <f t="shared" si="431"/>
        <v>1268</v>
      </c>
      <c r="N265" s="80">
        <f t="shared" si="432"/>
        <v>1415</v>
      </c>
      <c r="O265" s="80">
        <f t="shared" si="433"/>
        <v>1562</v>
      </c>
      <c r="P265" s="81"/>
      <c r="Q265" s="81"/>
      <c r="R265" s="81"/>
      <c r="S265" s="81"/>
      <c r="T265" s="81"/>
      <c r="U265" s="81"/>
      <c r="V265" s="81"/>
      <c r="W265" s="81"/>
      <c r="X265" s="81"/>
      <c r="Y265" s="81"/>
      <c r="Z265" s="81"/>
      <c r="AA265" s="81"/>
      <c r="AB265" s="81"/>
      <c r="AC265" s="81"/>
      <c r="AD265" s="81"/>
      <c r="AE265" s="81"/>
      <c r="AF265" s="81"/>
    </row>
    <row r="266" spans="1:32">
      <c r="A266" s="76" t="s">
        <v>1000</v>
      </c>
      <c r="B266" s="79">
        <f>B261*2*0.75</f>
        <v>36600</v>
      </c>
      <c r="C266" s="79">
        <f t="shared" ref="C266:I266" si="437">C261*2*0.75</f>
        <v>41850</v>
      </c>
      <c r="D266" s="79">
        <f t="shared" si="437"/>
        <v>47100</v>
      </c>
      <c r="E266" s="79">
        <f t="shared" si="437"/>
        <v>52275</v>
      </c>
      <c r="F266" s="79">
        <f t="shared" si="437"/>
        <v>56475</v>
      </c>
      <c r="G266" s="79">
        <f t="shared" si="437"/>
        <v>60675</v>
      </c>
      <c r="H266" s="79">
        <f t="shared" si="437"/>
        <v>64875</v>
      </c>
      <c r="I266" s="79">
        <f t="shared" si="437"/>
        <v>69075</v>
      </c>
      <c r="J266" s="80">
        <f t="shared" si="428"/>
        <v>915</v>
      </c>
      <c r="K266" s="80">
        <f t="shared" si="429"/>
        <v>980</v>
      </c>
      <c r="L266" s="80">
        <f t="shared" si="430"/>
        <v>1177</v>
      </c>
      <c r="M266" s="80">
        <f t="shared" si="431"/>
        <v>1359</v>
      </c>
      <c r="N266" s="80">
        <f t="shared" si="432"/>
        <v>1516</v>
      </c>
      <c r="O266" s="80">
        <f t="shared" si="433"/>
        <v>1674</v>
      </c>
      <c r="P266" s="81"/>
      <c r="Q266" s="81"/>
      <c r="R266" s="81"/>
      <c r="S266" s="81"/>
      <c r="T266" s="81"/>
      <c r="U266" s="81"/>
      <c r="V266" s="81"/>
      <c r="W266" s="81"/>
      <c r="X266" s="81"/>
      <c r="Y266" s="81"/>
      <c r="Z266" s="81"/>
      <c r="AA266" s="81"/>
      <c r="AB266" s="81"/>
      <c r="AC266" s="81"/>
      <c r="AD266" s="81"/>
      <c r="AE266" s="81"/>
      <c r="AF266" s="81"/>
    </row>
    <row r="267" spans="1:32">
      <c r="A267" s="76" t="s">
        <v>1001</v>
      </c>
      <c r="B267" s="79">
        <f>B261*2*0.8</f>
        <v>39040</v>
      </c>
      <c r="C267" s="79">
        <f t="shared" ref="C267:I267" si="438">C261*2*0.8</f>
        <v>44640</v>
      </c>
      <c r="D267" s="79">
        <f t="shared" si="438"/>
        <v>50240</v>
      </c>
      <c r="E267" s="79">
        <f t="shared" si="438"/>
        <v>55760</v>
      </c>
      <c r="F267" s="79">
        <f t="shared" si="438"/>
        <v>60240</v>
      </c>
      <c r="G267" s="79">
        <f t="shared" si="438"/>
        <v>64720</v>
      </c>
      <c r="H267" s="79">
        <f t="shared" si="438"/>
        <v>69200</v>
      </c>
      <c r="I267" s="79">
        <f t="shared" si="438"/>
        <v>73680</v>
      </c>
      <c r="J267" s="80">
        <f t="shared" si="428"/>
        <v>976</v>
      </c>
      <c r="K267" s="80">
        <f t="shared" si="429"/>
        <v>1046</v>
      </c>
      <c r="L267" s="80">
        <f t="shared" si="430"/>
        <v>1256</v>
      </c>
      <c r="M267" s="80">
        <f t="shared" si="431"/>
        <v>1450</v>
      </c>
      <c r="N267" s="80">
        <f t="shared" si="432"/>
        <v>1618</v>
      </c>
      <c r="O267" s="80">
        <f t="shared" si="433"/>
        <v>1786</v>
      </c>
      <c r="P267" s="81"/>
      <c r="Q267" s="81"/>
      <c r="R267" s="81"/>
      <c r="S267" s="81"/>
      <c r="T267" s="81"/>
      <c r="U267" s="81"/>
      <c r="V267" s="81"/>
      <c r="W267" s="81"/>
      <c r="X267" s="81"/>
      <c r="Y267" s="81"/>
      <c r="Z267" s="81"/>
      <c r="AA267" s="81"/>
      <c r="AB267" s="81"/>
      <c r="AC267" s="81"/>
      <c r="AD267" s="81"/>
      <c r="AE267" s="81"/>
      <c r="AF267" s="81"/>
    </row>
    <row r="268" spans="1:32">
      <c r="A268" s="76" t="s">
        <v>1002</v>
      </c>
      <c r="B268" s="79">
        <f>B261*2*0.9</f>
        <v>43920</v>
      </c>
      <c r="C268" s="79">
        <f t="shared" ref="C268:I268" si="439">C261*2*0.9</f>
        <v>50220</v>
      </c>
      <c r="D268" s="79">
        <f t="shared" si="439"/>
        <v>56520</v>
      </c>
      <c r="E268" s="79">
        <f t="shared" si="439"/>
        <v>62730</v>
      </c>
      <c r="F268" s="79">
        <f t="shared" si="439"/>
        <v>67770</v>
      </c>
      <c r="G268" s="79">
        <f t="shared" si="439"/>
        <v>72810</v>
      </c>
      <c r="H268" s="79">
        <f t="shared" si="439"/>
        <v>77850</v>
      </c>
      <c r="I268" s="79">
        <f t="shared" si="439"/>
        <v>82890</v>
      </c>
      <c r="J268" s="80">
        <f t="shared" si="428"/>
        <v>1098</v>
      </c>
      <c r="K268" s="80">
        <f t="shared" si="429"/>
        <v>1176</v>
      </c>
      <c r="L268" s="80">
        <f t="shared" si="430"/>
        <v>1413</v>
      </c>
      <c r="M268" s="80">
        <f t="shared" si="431"/>
        <v>1631</v>
      </c>
      <c r="N268" s="80">
        <f t="shared" si="432"/>
        <v>1820</v>
      </c>
      <c r="O268" s="80">
        <f t="shared" si="433"/>
        <v>2009</v>
      </c>
      <c r="P268" s="81"/>
      <c r="Q268" s="81"/>
      <c r="R268" s="81"/>
      <c r="S268" s="81"/>
      <c r="T268" s="81"/>
      <c r="U268" s="81"/>
      <c r="V268" s="81"/>
      <c r="W268" s="81"/>
      <c r="X268" s="81"/>
      <c r="Y268" s="81"/>
      <c r="Z268" s="81"/>
      <c r="AA268" s="81"/>
      <c r="AB268" s="81"/>
      <c r="AC268" s="81"/>
      <c r="AD268" s="81"/>
      <c r="AE268" s="81"/>
      <c r="AF268" s="81"/>
    </row>
    <row r="269" spans="1:32">
      <c r="A269" s="76" t="s">
        <v>1003</v>
      </c>
      <c r="B269" s="79">
        <f>B261*2</f>
        <v>48800</v>
      </c>
      <c r="C269" s="79">
        <f t="shared" ref="C269:I269" si="440">C261*2</f>
        <v>55800</v>
      </c>
      <c r="D269" s="79">
        <f t="shared" si="440"/>
        <v>62800</v>
      </c>
      <c r="E269" s="79">
        <f t="shared" si="440"/>
        <v>69700</v>
      </c>
      <c r="F269" s="79">
        <f t="shared" si="440"/>
        <v>75300</v>
      </c>
      <c r="G269" s="79">
        <f t="shared" si="440"/>
        <v>80900</v>
      </c>
      <c r="H269" s="79">
        <f t="shared" si="440"/>
        <v>86500</v>
      </c>
      <c r="I269" s="79">
        <f t="shared" si="440"/>
        <v>92100</v>
      </c>
      <c r="J269" s="80">
        <f>J261*2</f>
        <v>1220</v>
      </c>
      <c r="K269" s="80">
        <f t="shared" ref="K269:O269" si="441">K261*2</f>
        <v>1306</v>
      </c>
      <c r="L269" s="80">
        <f t="shared" si="441"/>
        <v>1570</v>
      </c>
      <c r="M269" s="80">
        <f t="shared" si="441"/>
        <v>1812</v>
      </c>
      <c r="N269" s="80">
        <f t="shared" si="441"/>
        <v>2022</v>
      </c>
      <c r="O269" s="80">
        <f t="shared" si="441"/>
        <v>2232</v>
      </c>
      <c r="P269" s="81"/>
      <c r="Q269" s="81"/>
      <c r="R269" s="81"/>
      <c r="S269" s="81"/>
      <c r="T269" s="81"/>
      <c r="U269" s="81"/>
      <c r="V269" s="81"/>
      <c r="W269" s="81"/>
      <c r="X269" s="81"/>
      <c r="Y269" s="81"/>
      <c r="Z269" s="81"/>
      <c r="AA269" s="81"/>
      <c r="AB269" s="81"/>
      <c r="AC269" s="81"/>
      <c r="AD269" s="81"/>
      <c r="AE269" s="81"/>
      <c r="AF269" s="81"/>
    </row>
    <row r="270" spans="1:32">
      <c r="A270" s="76" t="s">
        <v>1004</v>
      </c>
      <c r="B270" s="79">
        <f>B261*2*1.1</f>
        <v>53680.000000000007</v>
      </c>
      <c r="C270" s="79">
        <f t="shared" ref="C270:I270" si="442">C261*2*1.1</f>
        <v>61380.000000000007</v>
      </c>
      <c r="D270" s="79">
        <f t="shared" si="442"/>
        <v>69080</v>
      </c>
      <c r="E270" s="79">
        <f t="shared" si="442"/>
        <v>76670</v>
      </c>
      <c r="F270" s="79">
        <f t="shared" si="442"/>
        <v>82830</v>
      </c>
      <c r="G270" s="79">
        <f t="shared" si="442"/>
        <v>88990</v>
      </c>
      <c r="H270" s="79">
        <f t="shared" si="442"/>
        <v>95150.000000000015</v>
      </c>
      <c r="I270" s="79">
        <f t="shared" si="442"/>
        <v>101310.00000000001</v>
      </c>
      <c r="J270" s="80">
        <f t="shared" ref="J270:J278" si="443">TRUNC(B270/12*0.3)</f>
        <v>1342</v>
      </c>
      <c r="K270" s="80">
        <f t="shared" ref="K270:K278" si="444">TRUNC((B270+C270)/2/12*0.3)</f>
        <v>1438</v>
      </c>
      <c r="L270" s="80">
        <f t="shared" ref="L270:L278" si="445">TRUNC((D270)/12*0.3)</f>
        <v>1727</v>
      </c>
      <c r="M270" s="80">
        <f t="shared" ref="M270:M278" si="446">TRUNC(((E270+F270)/2)/12*0.3)</f>
        <v>1993</v>
      </c>
      <c r="N270" s="80">
        <f t="shared" ref="N270:N278" si="447">TRUNC(G270/12*0.3)</f>
        <v>2224</v>
      </c>
      <c r="O270" s="80">
        <f t="shared" ref="O270:O278" si="448">TRUNC(((H270+I270)/2)/12*0.3)</f>
        <v>2455</v>
      </c>
      <c r="P270" s="81"/>
      <c r="Q270" s="81"/>
      <c r="R270" s="81"/>
      <c r="S270" s="81"/>
      <c r="T270" s="81"/>
      <c r="U270" s="81"/>
      <c r="V270" s="81"/>
      <c r="W270" s="81"/>
      <c r="X270" s="81"/>
      <c r="Y270" s="81"/>
      <c r="Z270" s="81"/>
      <c r="AA270" s="81"/>
      <c r="AB270" s="81"/>
      <c r="AC270" s="81"/>
      <c r="AD270" s="81"/>
      <c r="AE270" s="81"/>
      <c r="AF270" s="81"/>
    </row>
    <row r="271" spans="1:32">
      <c r="A271" s="76" t="s">
        <v>1005</v>
      </c>
      <c r="B271" s="79">
        <f>B261*2*1.2</f>
        <v>58560</v>
      </c>
      <c r="C271" s="79">
        <f t="shared" ref="C271:I271" si="449">C261*2*1.2</f>
        <v>66960</v>
      </c>
      <c r="D271" s="79">
        <f t="shared" si="449"/>
        <v>75360</v>
      </c>
      <c r="E271" s="79">
        <f t="shared" si="449"/>
        <v>83640</v>
      </c>
      <c r="F271" s="79">
        <f t="shared" si="449"/>
        <v>90360</v>
      </c>
      <c r="G271" s="79">
        <f t="shared" si="449"/>
        <v>97080</v>
      </c>
      <c r="H271" s="79">
        <f t="shared" si="449"/>
        <v>103800</v>
      </c>
      <c r="I271" s="79">
        <f t="shared" si="449"/>
        <v>110520</v>
      </c>
      <c r="J271" s="80">
        <f t="shared" si="443"/>
        <v>1464</v>
      </c>
      <c r="K271" s="80">
        <f t="shared" si="444"/>
        <v>1569</v>
      </c>
      <c r="L271" s="80">
        <f t="shared" si="445"/>
        <v>1884</v>
      </c>
      <c r="M271" s="80">
        <f t="shared" si="446"/>
        <v>2175</v>
      </c>
      <c r="N271" s="80">
        <f t="shared" si="447"/>
        <v>2427</v>
      </c>
      <c r="O271" s="80">
        <f t="shared" si="448"/>
        <v>2679</v>
      </c>
      <c r="P271" s="81"/>
      <c r="Q271" s="81"/>
      <c r="R271" s="81"/>
      <c r="S271" s="81"/>
      <c r="T271" s="81"/>
      <c r="U271" s="81"/>
      <c r="V271" s="81"/>
      <c r="W271" s="81"/>
      <c r="X271" s="81"/>
      <c r="Y271" s="81"/>
      <c r="Z271" s="81"/>
      <c r="AA271" s="81"/>
      <c r="AB271" s="81"/>
      <c r="AC271" s="81"/>
      <c r="AD271" s="81"/>
      <c r="AE271" s="81"/>
      <c r="AF271" s="81"/>
    </row>
    <row r="272" spans="1:32">
      <c r="A272" s="76" t="s">
        <v>1006</v>
      </c>
      <c r="B272" s="79">
        <f>B279*2*0.15</f>
        <v>7320</v>
      </c>
      <c r="C272" s="79">
        <f>C279*2*0.15</f>
        <v>8370</v>
      </c>
      <c r="D272" s="79">
        <f>D279*2*0.15</f>
        <v>9420</v>
      </c>
      <c r="E272" s="79">
        <f>E279*2*0.15</f>
        <v>10455</v>
      </c>
      <c r="F272" s="79">
        <f>F279*2*0.15</f>
        <v>11295</v>
      </c>
      <c r="G272" s="79">
        <f t="shared" ref="G272:I272" si="450">G279*2*0.15</f>
        <v>12135</v>
      </c>
      <c r="H272" s="79">
        <f t="shared" si="450"/>
        <v>12975</v>
      </c>
      <c r="I272" s="79">
        <f t="shared" si="450"/>
        <v>13815</v>
      </c>
      <c r="J272" s="80">
        <f t="shared" si="443"/>
        <v>183</v>
      </c>
      <c r="K272" s="80">
        <f t="shared" si="444"/>
        <v>196</v>
      </c>
      <c r="L272" s="80">
        <f t="shared" si="445"/>
        <v>235</v>
      </c>
      <c r="M272" s="80">
        <f t="shared" si="446"/>
        <v>271</v>
      </c>
      <c r="N272" s="80">
        <f t="shared" si="447"/>
        <v>303</v>
      </c>
      <c r="O272" s="80">
        <f t="shared" si="448"/>
        <v>334</v>
      </c>
      <c r="P272" s="81"/>
      <c r="Q272" s="81"/>
      <c r="R272" s="81"/>
      <c r="S272" s="81"/>
      <c r="T272" s="81"/>
      <c r="U272" s="81"/>
      <c r="V272" s="81"/>
      <c r="W272" s="81"/>
      <c r="X272" s="81"/>
      <c r="Y272" s="81"/>
      <c r="Z272" s="81"/>
      <c r="AA272" s="81"/>
      <c r="AB272" s="81"/>
      <c r="AC272" s="81"/>
      <c r="AD272" s="81"/>
      <c r="AE272" s="81"/>
      <c r="AF272" s="81"/>
    </row>
    <row r="273" spans="1:32">
      <c r="A273" s="76" t="s">
        <v>1007</v>
      </c>
      <c r="B273" s="79">
        <f>B279*2*0.2</f>
        <v>9760</v>
      </c>
      <c r="C273" s="79">
        <f t="shared" ref="C273:I273" si="451">C279*2*0.2</f>
        <v>11160</v>
      </c>
      <c r="D273" s="79">
        <f t="shared" si="451"/>
        <v>12560</v>
      </c>
      <c r="E273" s="79">
        <f t="shared" si="451"/>
        <v>13940</v>
      </c>
      <c r="F273" s="79">
        <f t="shared" si="451"/>
        <v>15060</v>
      </c>
      <c r="G273" s="79">
        <f t="shared" si="451"/>
        <v>16180</v>
      </c>
      <c r="H273" s="79">
        <f t="shared" si="451"/>
        <v>17300</v>
      </c>
      <c r="I273" s="79">
        <f t="shared" si="451"/>
        <v>18420</v>
      </c>
      <c r="J273" s="80">
        <f t="shared" si="443"/>
        <v>244</v>
      </c>
      <c r="K273" s="80">
        <f t="shared" si="444"/>
        <v>261</v>
      </c>
      <c r="L273" s="80">
        <f t="shared" si="445"/>
        <v>314</v>
      </c>
      <c r="M273" s="80">
        <f t="shared" si="446"/>
        <v>362</v>
      </c>
      <c r="N273" s="80">
        <f t="shared" si="447"/>
        <v>404</v>
      </c>
      <c r="O273" s="80">
        <f t="shared" si="448"/>
        <v>446</v>
      </c>
      <c r="P273" s="81"/>
      <c r="Q273" s="81"/>
      <c r="R273" s="81"/>
      <c r="S273" s="81"/>
      <c r="T273" s="81"/>
      <c r="U273" s="81"/>
      <c r="V273" s="81"/>
      <c r="W273" s="81"/>
      <c r="X273" s="81"/>
      <c r="Y273" s="81"/>
      <c r="Z273" s="81"/>
      <c r="AA273" s="81"/>
      <c r="AB273" s="81"/>
      <c r="AC273" s="81"/>
      <c r="AD273" s="81"/>
      <c r="AE273" s="81"/>
      <c r="AF273" s="81"/>
    </row>
    <row r="274" spans="1:32">
      <c r="A274" s="76" t="s">
        <v>1008</v>
      </c>
      <c r="B274" s="79">
        <f>B279*2*0.25</f>
        <v>12200</v>
      </c>
      <c r="C274" s="79">
        <f t="shared" ref="C274:I274" si="452">C279*2*0.25</f>
        <v>13950</v>
      </c>
      <c r="D274" s="79">
        <f t="shared" si="452"/>
        <v>15700</v>
      </c>
      <c r="E274" s="79">
        <f t="shared" si="452"/>
        <v>17425</v>
      </c>
      <c r="F274" s="79">
        <f t="shared" si="452"/>
        <v>18825</v>
      </c>
      <c r="G274" s="79">
        <f t="shared" si="452"/>
        <v>20225</v>
      </c>
      <c r="H274" s="79">
        <f t="shared" si="452"/>
        <v>21625</v>
      </c>
      <c r="I274" s="79">
        <f t="shared" si="452"/>
        <v>23025</v>
      </c>
      <c r="J274" s="80">
        <f t="shared" si="443"/>
        <v>305</v>
      </c>
      <c r="K274" s="80">
        <f t="shared" si="444"/>
        <v>326</v>
      </c>
      <c r="L274" s="80">
        <f t="shared" si="445"/>
        <v>392</v>
      </c>
      <c r="M274" s="80">
        <f t="shared" si="446"/>
        <v>453</v>
      </c>
      <c r="N274" s="80">
        <f t="shared" si="447"/>
        <v>505</v>
      </c>
      <c r="O274" s="80">
        <f t="shared" si="448"/>
        <v>558</v>
      </c>
      <c r="P274" s="81"/>
      <c r="Q274" s="81"/>
      <c r="R274" s="81"/>
      <c r="S274" s="81"/>
      <c r="T274" s="81"/>
      <c r="U274" s="81"/>
      <c r="V274" s="81"/>
      <c r="W274" s="81"/>
      <c r="X274" s="81"/>
      <c r="Y274" s="81"/>
      <c r="Z274" s="81"/>
      <c r="AA274" s="81"/>
      <c r="AB274" s="81"/>
      <c r="AC274" s="81"/>
      <c r="AD274" s="81"/>
      <c r="AE274" s="81"/>
      <c r="AF274" s="81"/>
    </row>
    <row r="275" spans="1:32">
      <c r="A275" s="76" t="s">
        <v>1009</v>
      </c>
      <c r="B275" s="79">
        <f>B279*2*0.3</f>
        <v>14640</v>
      </c>
      <c r="C275" s="79">
        <f t="shared" ref="C275:I275" si="453">C279*2*0.3</f>
        <v>16740</v>
      </c>
      <c r="D275" s="79">
        <f t="shared" si="453"/>
        <v>18840</v>
      </c>
      <c r="E275" s="79">
        <f t="shared" si="453"/>
        <v>20910</v>
      </c>
      <c r="F275" s="79">
        <f t="shared" si="453"/>
        <v>22590</v>
      </c>
      <c r="G275" s="79">
        <f t="shared" si="453"/>
        <v>24270</v>
      </c>
      <c r="H275" s="79">
        <f t="shared" si="453"/>
        <v>25950</v>
      </c>
      <c r="I275" s="79">
        <f t="shared" si="453"/>
        <v>27630</v>
      </c>
      <c r="J275" s="80">
        <f t="shared" si="443"/>
        <v>366</v>
      </c>
      <c r="K275" s="80">
        <f t="shared" si="444"/>
        <v>392</v>
      </c>
      <c r="L275" s="80">
        <f t="shared" si="445"/>
        <v>471</v>
      </c>
      <c r="M275" s="80">
        <f t="shared" si="446"/>
        <v>543</v>
      </c>
      <c r="N275" s="80">
        <f t="shared" si="447"/>
        <v>606</v>
      </c>
      <c r="O275" s="80">
        <f t="shared" si="448"/>
        <v>669</v>
      </c>
      <c r="P275" s="81"/>
      <c r="Q275" s="81"/>
      <c r="R275" s="81"/>
      <c r="S275" s="81"/>
      <c r="T275" s="81"/>
      <c r="U275" s="81"/>
      <c r="V275" s="81"/>
      <c r="W275" s="81"/>
      <c r="X275" s="81"/>
      <c r="Y275" s="81"/>
      <c r="Z275" s="81"/>
      <c r="AA275" s="81"/>
      <c r="AB275" s="81"/>
      <c r="AC275" s="81"/>
      <c r="AD275" s="81"/>
      <c r="AE275" s="81"/>
      <c r="AF275" s="81"/>
    </row>
    <row r="276" spans="1:32">
      <c r="A276" s="76" t="s">
        <v>1010</v>
      </c>
      <c r="B276" s="79">
        <f>B279*2*0.35</f>
        <v>17080</v>
      </c>
      <c r="C276" s="79">
        <f t="shared" ref="C276:I276" si="454">C279*2*0.35</f>
        <v>19530</v>
      </c>
      <c r="D276" s="79">
        <f t="shared" si="454"/>
        <v>21980</v>
      </c>
      <c r="E276" s="79">
        <f t="shared" si="454"/>
        <v>24395</v>
      </c>
      <c r="F276" s="79">
        <f t="shared" si="454"/>
        <v>26355</v>
      </c>
      <c r="G276" s="79">
        <f t="shared" si="454"/>
        <v>28315</v>
      </c>
      <c r="H276" s="79">
        <f t="shared" si="454"/>
        <v>30274.999999999996</v>
      </c>
      <c r="I276" s="79">
        <f t="shared" si="454"/>
        <v>32234.999999999996</v>
      </c>
      <c r="J276" s="80">
        <f t="shared" si="443"/>
        <v>427</v>
      </c>
      <c r="K276" s="80">
        <f t="shared" si="444"/>
        <v>457</v>
      </c>
      <c r="L276" s="80">
        <f t="shared" si="445"/>
        <v>549</v>
      </c>
      <c r="M276" s="80">
        <f t="shared" si="446"/>
        <v>634</v>
      </c>
      <c r="N276" s="80">
        <f t="shared" si="447"/>
        <v>707</v>
      </c>
      <c r="O276" s="80">
        <f t="shared" si="448"/>
        <v>781</v>
      </c>
      <c r="P276" s="81"/>
      <c r="Q276" s="81"/>
      <c r="R276" s="81"/>
      <c r="S276" s="81"/>
      <c r="T276" s="81"/>
      <c r="U276" s="81"/>
      <c r="V276" s="81"/>
      <c r="W276" s="81"/>
      <c r="X276" s="81"/>
      <c r="Y276" s="81"/>
      <c r="Z276" s="81"/>
      <c r="AA276" s="81"/>
      <c r="AB276" s="81"/>
      <c r="AC276" s="81"/>
      <c r="AD276" s="81"/>
      <c r="AE276" s="81"/>
      <c r="AF276" s="81"/>
    </row>
    <row r="277" spans="1:32">
      <c r="A277" s="76" t="s">
        <v>1011</v>
      </c>
      <c r="B277" s="79">
        <f>B279*2*0.4</f>
        <v>19520</v>
      </c>
      <c r="C277" s="79">
        <f t="shared" ref="C277:I277" si="455">C279*2*0.4</f>
        <v>22320</v>
      </c>
      <c r="D277" s="79">
        <f t="shared" si="455"/>
        <v>25120</v>
      </c>
      <c r="E277" s="79">
        <f t="shared" si="455"/>
        <v>27880</v>
      </c>
      <c r="F277" s="79">
        <f t="shared" si="455"/>
        <v>30120</v>
      </c>
      <c r="G277" s="79">
        <f t="shared" si="455"/>
        <v>32360</v>
      </c>
      <c r="H277" s="79">
        <f t="shared" si="455"/>
        <v>34600</v>
      </c>
      <c r="I277" s="79">
        <f t="shared" si="455"/>
        <v>36840</v>
      </c>
      <c r="J277" s="80">
        <f t="shared" si="443"/>
        <v>488</v>
      </c>
      <c r="K277" s="80">
        <f t="shared" si="444"/>
        <v>523</v>
      </c>
      <c r="L277" s="80">
        <f t="shared" si="445"/>
        <v>628</v>
      </c>
      <c r="M277" s="80">
        <f t="shared" si="446"/>
        <v>725</v>
      </c>
      <c r="N277" s="80">
        <f t="shared" si="447"/>
        <v>809</v>
      </c>
      <c r="O277" s="80">
        <f t="shared" si="448"/>
        <v>893</v>
      </c>
      <c r="P277" s="81"/>
      <c r="Q277" s="81"/>
      <c r="R277" s="81"/>
      <c r="S277" s="81"/>
      <c r="T277" s="81"/>
      <c r="U277" s="81"/>
      <c r="V277" s="81"/>
      <c r="W277" s="81"/>
      <c r="X277" s="81"/>
      <c r="Y277" s="81"/>
      <c r="Z277" s="81"/>
      <c r="AA277" s="81"/>
      <c r="AB277" s="81"/>
      <c r="AC277" s="81"/>
      <c r="AD277" s="81"/>
      <c r="AE277" s="81"/>
      <c r="AF277" s="81"/>
    </row>
    <row r="278" spans="1:32">
      <c r="A278" s="76" t="s">
        <v>1012</v>
      </c>
      <c r="B278" s="79">
        <f>B279*2*0.45</f>
        <v>21960</v>
      </c>
      <c r="C278" s="79">
        <f t="shared" ref="C278:I278" si="456">C279*2*0.45</f>
        <v>25110</v>
      </c>
      <c r="D278" s="79">
        <f t="shared" si="456"/>
        <v>28260</v>
      </c>
      <c r="E278" s="79">
        <f t="shared" si="456"/>
        <v>31365</v>
      </c>
      <c r="F278" s="79">
        <f t="shared" si="456"/>
        <v>33885</v>
      </c>
      <c r="G278" s="79">
        <f t="shared" si="456"/>
        <v>36405</v>
      </c>
      <c r="H278" s="79">
        <f t="shared" si="456"/>
        <v>38925</v>
      </c>
      <c r="I278" s="79">
        <f t="shared" si="456"/>
        <v>41445</v>
      </c>
      <c r="J278" s="80">
        <f t="shared" si="443"/>
        <v>549</v>
      </c>
      <c r="K278" s="80">
        <f t="shared" si="444"/>
        <v>588</v>
      </c>
      <c r="L278" s="80">
        <f t="shared" si="445"/>
        <v>706</v>
      </c>
      <c r="M278" s="80">
        <f t="shared" si="446"/>
        <v>815</v>
      </c>
      <c r="N278" s="80">
        <f t="shared" si="447"/>
        <v>910</v>
      </c>
      <c r="O278" s="80">
        <f t="shared" si="448"/>
        <v>1004</v>
      </c>
      <c r="P278" s="81"/>
      <c r="Q278" s="81"/>
      <c r="R278" s="81"/>
      <c r="S278" s="81"/>
      <c r="T278" s="81"/>
      <c r="U278" s="81"/>
      <c r="V278" s="81"/>
      <c r="W278" s="81"/>
      <c r="X278" s="81"/>
      <c r="Y278" s="81"/>
      <c r="Z278" s="81"/>
      <c r="AA278" s="81"/>
      <c r="AB278" s="81"/>
      <c r="AC278" s="81"/>
      <c r="AD278" s="81"/>
      <c r="AE278" s="81"/>
      <c r="AF278" s="81"/>
    </row>
    <row r="279" spans="1:32">
      <c r="A279" s="82" t="s">
        <v>1013</v>
      </c>
      <c r="B279" s="84">
        <f>'MTSP 50% Income Limits '!B17</f>
        <v>24400</v>
      </c>
      <c r="C279" s="84">
        <f>'MTSP 50% Income Limits '!C17</f>
        <v>27900</v>
      </c>
      <c r="D279" s="84">
        <f>'MTSP 50% Income Limits '!D17</f>
        <v>31400</v>
      </c>
      <c r="E279" s="84">
        <f>'MTSP 50% Income Limits '!E17</f>
        <v>34850</v>
      </c>
      <c r="F279" s="84">
        <f>'MTSP 50% Income Limits '!F17</f>
        <v>37650</v>
      </c>
      <c r="G279" s="84">
        <f>'MTSP 50% Income Limits '!G17</f>
        <v>40450</v>
      </c>
      <c r="H279" s="84">
        <f>'MTSP 50% Income Limits '!H17</f>
        <v>43250</v>
      </c>
      <c r="I279" s="84">
        <f>'MTSP 50% Income Limits '!I17</f>
        <v>46050</v>
      </c>
      <c r="J279" s="83">
        <f>TRUNC(B279/12*0.3)</f>
        <v>610</v>
      </c>
      <c r="K279" s="83">
        <f>TRUNC((B279+C279)/2/12*0.3)</f>
        <v>653</v>
      </c>
      <c r="L279" s="83">
        <f>TRUNC((D279)/12*0.3)</f>
        <v>785</v>
      </c>
      <c r="M279" s="83">
        <f>TRUNC(((E279+F279)/2)/12*0.3)</f>
        <v>906</v>
      </c>
      <c r="N279" s="83">
        <f>TRUNC(G279/12*0.3)</f>
        <v>1011</v>
      </c>
      <c r="O279" s="83">
        <f>TRUNC(((H279+I279)/2)/12*0.3)</f>
        <v>1116</v>
      </c>
      <c r="P279" s="81"/>
      <c r="Q279" s="81"/>
      <c r="R279" s="81"/>
      <c r="S279" s="81"/>
      <c r="T279" s="81"/>
      <c r="U279" s="81"/>
      <c r="V279" s="81"/>
      <c r="W279" s="81"/>
      <c r="X279" s="81"/>
      <c r="Y279" s="81"/>
      <c r="Z279" s="81"/>
      <c r="AA279" s="81"/>
      <c r="AB279" s="81"/>
      <c r="AC279" s="81"/>
      <c r="AD279" s="81"/>
      <c r="AE279" s="81"/>
      <c r="AF279" s="81"/>
    </row>
    <row r="280" spans="1:32">
      <c r="A280" s="76" t="s">
        <v>1014</v>
      </c>
      <c r="B280" s="79">
        <f>B279*2*0.55</f>
        <v>26840.000000000004</v>
      </c>
      <c r="C280" s="79">
        <f t="shared" ref="C280:I280" si="457">C279*2*0.55</f>
        <v>30690.000000000004</v>
      </c>
      <c r="D280" s="79">
        <f t="shared" si="457"/>
        <v>34540</v>
      </c>
      <c r="E280" s="79">
        <f t="shared" si="457"/>
        <v>38335</v>
      </c>
      <c r="F280" s="79">
        <f t="shared" si="457"/>
        <v>41415</v>
      </c>
      <c r="G280" s="79">
        <f t="shared" si="457"/>
        <v>44495</v>
      </c>
      <c r="H280" s="79">
        <f t="shared" si="457"/>
        <v>47575.000000000007</v>
      </c>
      <c r="I280" s="79">
        <f t="shared" si="457"/>
        <v>50655.000000000007</v>
      </c>
      <c r="J280" s="80">
        <f t="shared" ref="J280:J286" si="458">TRUNC(B280/12*0.3)</f>
        <v>671</v>
      </c>
      <c r="K280" s="80">
        <f t="shared" ref="K280:K286" si="459">TRUNC((B280+C280)/2/12*0.3)</f>
        <v>719</v>
      </c>
      <c r="L280" s="80">
        <f t="shared" ref="L280:L286" si="460">TRUNC((D280)/12*0.3)</f>
        <v>863</v>
      </c>
      <c r="M280" s="80">
        <f t="shared" ref="M280:M286" si="461">TRUNC(((E280+F280)/2)/12*0.3)</f>
        <v>996</v>
      </c>
      <c r="N280" s="80">
        <f t="shared" ref="N280:N286" si="462">TRUNC(G280/12*0.3)</f>
        <v>1112</v>
      </c>
      <c r="O280" s="80">
        <f t="shared" ref="O280:O286" si="463">TRUNC(((H280+I280)/2)/12*0.3)</f>
        <v>1227</v>
      </c>
      <c r="P280" s="81"/>
      <c r="Q280" s="81"/>
      <c r="R280" s="81"/>
      <c r="S280" s="81"/>
      <c r="T280" s="81"/>
      <c r="U280" s="81"/>
      <c r="V280" s="81"/>
      <c r="W280" s="81"/>
      <c r="X280" s="81"/>
      <c r="Y280" s="81"/>
      <c r="Z280" s="81"/>
      <c r="AA280" s="81"/>
      <c r="AB280" s="81"/>
      <c r="AC280" s="81"/>
      <c r="AD280" s="81"/>
      <c r="AE280" s="81"/>
      <c r="AF280" s="81"/>
    </row>
    <row r="281" spans="1:32">
      <c r="A281" s="76" t="s">
        <v>1015</v>
      </c>
      <c r="B281" s="79">
        <f>B279*2*0.6</f>
        <v>29280</v>
      </c>
      <c r="C281" s="79">
        <f t="shared" ref="C281:I281" si="464">C279*2*0.6</f>
        <v>33480</v>
      </c>
      <c r="D281" s="79">
        <f t="shared" si="464"/>
        <v>37680</v>
      </c>
      <c r="E281" s="79">
        <f t="shared" si="464"/>
        <v>41820</v>
      </c>
      <c r="F281" s="79">
        <f t="shared" si="464"/>
        <v>45180</v>
      </c>
      <c r="G281" s="79">
        <f t="shared" si="464"/>
        <v>48540</v>
      </c>
      <c r="H281" s="79">
        <f t="shared" si="464"/>
        <v>51900</v>
      </c>
      <c r="I281" s="79">
        <f t="shared" si="464"/>
        <v>55260</v>
      </c>
      <c r="J281" s="80">
        <f t="shared" si="458"/>
        <v>732</v>
      </c>
      <c r="K281" s="80">
        <f t="shared" si="459"/>
        <v>784</v>
      </c>
      <c r="L281" s="80">
        <f t="shared" si="460"/>
        <v>942</v>
      </c>
      <c r="M281" s="80">
        <f t="shared" si="461"/>
        <v>1087</v>
      </c>
      <c r="N281" s="80">
        <f t="shared" si="462"/>
        <v>1213</v>
      </c>
      <c r="O281" s="80">
        <f t="shared" si="463"/>
        <v>1339</v>
      </c>
      <c r="P281" s="81"/>
      <c r="Q281" s="81"/>
      <c r="R281" s="81"/>
      <c r="S281" s="81"/>
      <c r="T281" s="81"/>
      <c r="U281" s="81"/>
      <c r="V281" s="81"/>
      <c r="W281" s="81"/>
      <c r="X281" s="81"/>
      <c r="Y281" s="81"/>
      <c r="Z281" s="81"/>
      <c r="AA281" s="81"/>
      <c r="AB281" s="81"/>
      <c r="AC281" s="81"/>
      <c r="AD281" s="81"/>
      <c r="AE281" s="81"/>
      <c r="AF281" s="81"/>
    </row>
    <row r="282" spans="1:32">
      <c r="A282" s="76" t="s">
        <v>1016</v>
      </c>
      <c r="B282" s="79">
        <f>B279*2*0.65</f>
        <v>31720</v>
      </c>
      <c r="C282" s="79">
        <f t="shared" ref="C282:I282" si="465">C279*2*0.65</f>
        <v>36270</v>
      </c>
      <c r="D282" s="79">
        <f t="shared" si="465"/>
        <v>40820</v>
      </c>
      <c r="E282" s="79">
        <f t="shared" si="465"/>
        <v>45305</v>
      </c>
      <c r="F282" s="79">
        <f t="shared" si="465"/>
        <v>48945</v>
      </c>
      <c r="G282" s="79">
        <f t="shared" si="465"/>
        <v>52585</v>
      </c>
      <c r="H282" s="79">
        <f t="shared" si="465"/>
        <v>56225</v>
      </c>
      <c r="I282" s="79">
        <f t="shared" si="465"/>
        <v>59865</v>
      </c>
      <c r="J282" s="80">
        <f t="shared" si="458"/>
        <v>793</v>
      </c>
      <c r="K282" s="80">
        <f t="shared" si="459"/>
        <v>849</v>
      </c>
      <c r="L282" s="80">
        <f t="shared" si="460"/>
        <v>1020</v>
      </c>
      <c r="M282" s="80">
        <f t="shared" si="461"/>
        <v>1178</v>
      </c>
      <c r="N282" s="80">
        <f t="shared" si="462"/>
        <v>1314</v>
      </c>
      <c r="O282" s="80">
        <f t="shared" si="463"/>
        <v>1451</v>
      </c>
      <c r="P282" s="81"/>
      <c r="Q282" s="81"/>
      <c r="R282" s="81"/>
      <c r="S282" s="81"/>
      <c r="T282" s="81"/>
      <c r="U282" s="81"/>
      <c r="V282" s="81"/>
      <c r="W282" s="81"/>
      <c r="X282" s="81"/>
      <c r="Y282" s="81"/>
      <c r="Z282" s="81"/>
      <c r="AA282" s="81"/>
      <c r="AB282" s="81"/>
      <c r="AC282" s="81"/>
      <c r="AD282" s="81"/>
      <c r="AE282" s="81"/>
      <c r="AF282" s="81"/>
    </row>
    <row r="283" spans="1:32">
      <c r="A283" s="76" t="s">
        <v>1017</v>
      </c>
      <c r="B283" s="79">
        <f>B279*2*0.7</f>
        <v>34160</v>
      </c>
      <c r="C283" s="79">
        <f t="shared" ref="C283:I283" si="466">C279*2*0.7</f>
        <v>39060</v>
      </c>
      <c r="D283" s="79">
        <f t="shared" si="466"/>
        <v>43960</v>
      </c>
      <c r="E283" s="79">
        <f t="shared" si="466"/>
        <v>48790</v>
      </c>
      <c r="F283" s="79">
        <f t="shared" si="466"/>
        <v>52710</v>
      </c>
      <c r="G283" s="79">
        <f t="shared" si="466"/>
        <v>56630</v>
      </c>
      <c r="H283" s="79">
        <f t="shared" si="466"/>
        <v>60549.999999999993</v>
      </c>
      <c r="I283" s="79">
        <f t="shared" si="466"/>
        <v>64469.999999999993</v>
      </c>
      <c r="J283" s="80">
        <f t="shared" si="458"/>
        <v>854</v>
      </c>
      <c r="K283" s="80">
        <f t="shared" si="459"/>
        <v>915</v>
      </c>
      <c r="L283" s="80">
        <f t="shared" si="460"/>
        <v>1099</v>
      </c>
      <c r="M283" s="80">
        <f t="shared" si="461"/>
        <v>1268</v>
      </c>
      <c r="N283" s="80">
        <f t="shared" si="462"/>
        <v>1415</v>
      </c>
      <c r="O283" s="80">
        <f t="shared" si="463"/>
        <v>1562</v>
      </c>
      <c r="P283" s="81"/>
      <c r="Q283" s="81"/>
      <c r="R283" s="81"/>
      <c r="S283" s="81"/>
      <c r="T283" s="81"/>
      <c r="U283" s="81"/>
      <c r="V283" s="81"/>
      <c r="W283" s="81"/>
      <c r="X283" s="81"/>
      <c r="Y283" s="81"/>
      <c r="Z283" s="81"/>
      <c r="AA283" s="81"/>
      <c r="AB283" s="81"/>
      <c r="AC283" s="81"/>
      <c r="AD283" s="81"/>
      <c r="AE283" s="81"/>
      <c r="AF283" s="81"/>
    </row>
    <row r="284" spans="1:32">
      <c r="A284" s="76" t="s">
        <v>1018</v>
      </c>
      <c r="B284" s="79">
        <f>B279*2*0.75</f>
        <v>36600</v>
      </c>
      <c r="C284" s="79">
        <f t="shared" ref="C284:I284" si="467">C279*2*0.75</f>
        <v>41850</v>
      </c>
      <c r="D284" s="79">
        <f t="shared" si="467"/>
        <v>47100</v>
      </c>
      <c r="E284" s="79">
        <f t="shared" si="467"/>
        <v>52275</v>
      </c>
      <c r="F284" s="79">
        <f t="shared" si="467"/>
        <v>56475</v>
      </c>
      <c r="G284" s="79">
        <f t="shared" si="467"/>
        <v>60675</v>
      </c>
      <c r="H284" s="79">
        <f t="shared" si="467"/>
        <v>64875</v>
      </c>
      <c r="I284" s="79">
        <f t="shared" si="467"/>
        <v>69075</v>
      </c>
      <c r="J284" s="80">
        <f t="shared" si="458"/>
        <v>915</v>
      </c>
      <c r="K284" s="80">
        <f t="shared" si="459"/>
        <v>980</v>
      </c>
      <c r="L284" s="80">
        <f t="shared" si="460"/>
        <v>1177</v>
      </c>
      <c r="M284" s="80">
        <f t="shared" si="461"/>
        <v>1359</v>
      </c>
      <c r="N284" s="80">
        <f t="shared" si="462"/>
        <v>1516</v>
      </c>
      <c r="O284" s="80">
        <f t="shared" si="463"/>
        <v>1674</v>
      </c>
      <c r="P284" s="81"/>
      <c r="Q284" s="81"/>
      <c r="R284" s="81"/>
      <c r="S284" s="81"/>
      <c r="T284" s="81"/>
      <c r="U284" s="81"/>
      <c r="V284" s="81"/>
      <c r="W284" s="81"/>
      <c r="X284" s="81"/>
      <c r="Y284" s="81"/>
      <c r="Z284" s="81"/>
      <c r="AA284" s="81"/>
      <c r="AB284" s="81"/>
      <c r="AC284" s="81"/>
      <c r="AD284" s="81"/>
      <c r="AE284" s="81"/>
      <c r="AF284" s="81"/>
    </row>
    <row r="285" spans="1:32">
      <c r="A285" s="76" t="s">
        <v>1019</v>
      </c>
      <c r="B285" s="79">
        <f>B279*2*0.8</f>
        <v>39040</v>
      </c>
      <c r="C285" s="79">
        <f t="shared" ref="C285:I285" si="468">C279*2*0.8</f>
        <v>44640</v>
      </c>
      <c r="D285" s="79">
        <f t="shared" si="468"/>
        <v>50240</v>
      </c>
      <c r="E285" s="79">
        <f t="shared" si="468"/>
        <v>55760</v>
      </c>
      <c r="F285" s="79">
        <f t="shared" si="468"/>
        <v>60240</v>
      </c>
      <c r="G285" s="79">
        <f t="shared" si="468"/>
        <v>64720</v>
      </c>
      <c r="H285" s="79">
        <f t="shared" si="468"/>
        <v>69200</v>
      </c>
      <c r="I285" s="79">
        <f t="shared" si="468"/>
        <v>73680</v>
      </c>
      <c r="J285" s="80">
        <f t="shared" si="458"/>
        <v>976</v>
      </c>
      <c r="K285" s="80">
        <f t="shared" si="459"/>
        <v>1046</v>
      </c>
      <c r="L285" s="80">
        <f t="shared" si="460"/>
        <v>1256</v>
      </c>
      <c r="M285" s="80">
        <f t="shared" si="461"/>
        <v>1450</v>
      </c>
      <c r="N285" s="80">
        <f t="shared" si="462"/>
        <v>1618</v>
      </c>
      <c r="O285" s="80">
        <f t="shared" si="463"/>
        <v>1786</v>
      </c>
      <c r="P285" s="81"/>
      <c r="Q285" s="81"/>
      <c r="R285" s="81"/>
      <c r="S285" s="81"/>
      <c r="T285" s="81"/>
      <c r="U285" s="81"/>
      <c r="V285" s="81"/>
      <c r="W285" s="81"/>
      <c r="X285" s="81"/>
      <c r="Y285" s="81"/>
      <c r="Z285" s="81"/>
      <c r="AA285" s="81"/>
      <c r="AB285" s="81"/>
      <c r="AC285" s="81"/>
      <c r="AD285" s="81"/>
      <c r="AE285" s="81"/>
      <c r="AF285" s="81"/>
    </row>
    <row r="286" spans="1:32">
      <c r="A286" s="76" t="s">
        <v>1020</v>
      </c>
      <c r="B286" s="79">
        <f>B279*2*0.9</f>
        <v>43920</v>
      </c>
      <c r="C286" s="79">
        <f t="shared" ref="C286:I286" si="469">C279*2*0.9</f>
        <v>50220</v>
      </c>
      <c r="D286" s="79">
        <f t="shared" si="469"/>
        <v>56520</v>
      </c>
      <c r="E286" s="79">
        <f t="shared" si="469"/>
        <v>62730</v>
      </c>
      <c r="F286" s="79">
        <f t="shared" si="469"/>
        <v>67770</v>
      </c>
      <c r="G286" s="79">
        <f t="shared" si="469"/>
        <v>72810</v>
      </c>
      <c r="H286" s="79">
        <f t="shared" si="469"/>
        <v>77850</v>
      </c>
      <c r="I286" s="79">
        <f t="shared" si="469"/>
        <v>82890</v>
      </c>
      <c r="J286" s="80">
        <f t="shared" si="458"/>
        <v>1098</v>
      </c>
      <c r="K286" s="80">
        <f t="shared" si="459"/>
        <v>1176</v>
      </c>
      <c r="L286" s="80">
        <f t="shared" si="460"/>
        <v>1413</v>
      </c>
      <c r="M286" s="80">
        <f t="shared" si="461"/>
        <v>1631</v>
      </c>
      <c r="N286" s="80">
        <f t="shared" si="462"/>
        <v>1820</v>
      </c>
      <c r="O286" s="80">
        <f t="shared" si="463"/>
        <v>2009</v>
      </c>
      <c r="P286" s="81"/>
      <c r="Q286" s="81"/>
      <c r="R286" s="81"/>
      <c r="S286" s="81"/>
      <c r="T286" s="81"/>
      <c r="U286" s="81"/>
      <c r="V286" s="81"/>
      <c r="W286" s="81"/>
      <c r="X286" s="81"/>
      <c r="Y286" s="81"/>
      <c r="Z286" s="81"/>
      <c r="AA286" s="81"/>
      <c r="AB286" s="81"/>
      <c r="AC286" s="81"/>
      <c r="AD286" s="81"/>
      <c r="AE286" s="81"/>
      <c r="AF286" s="81"/>
    </row>
    <row r="287" spans="1:32">
      <c r="A287" s="76" t="s">
        <v>1021</v>
      </c>
      <c r="B287" s="79">
        <f>B279*2</f>
        <v>48800</v>
      </c>
      <c r="C287" s="79">
        <f t="shared" ref="C287:I287" si="470">C279*2</f>
        <v>55800</v>
      </c>
      <c r="D287" s="79">
        <f t="shared" si="470"/>
        <v>62800</v>
      </c>
      <c r="E287" s="79">
        <f t="shared" si="470"/>
        <v>69700</v>
      </c>
      <c r="F287" s="79">
        <f t="shared" si="470"/>
        <v>75300</v>
      </c>
      <c r="G287" s="79">
        <f t="shared" si="470"/>
        <v>80900</v>
      </c>
      <c r="H287" s="79">
        <f t="shared" si="470"/>
        <v>86500</v>
      </c>
      <c r="I287" s="79">
        <f t="shared" si="470"/>
        <v>92100</v>
      </c>
      <c r="J287" s="80">
        <f>J279*2</f>
        <v>1220</v>
      </c>
      <c r="K287" s="80">
        <f t="shared" ref="K287:O287" si="471">K279*2</f>
        <v>1306</v>
      </c>
      <c r="L287" s="80">
        <f t="shared" si="471"/>
        <v>1570</v>
      </c>
      <c r="M287" s="80">
        <f t="shared" si="471"/>
        <v>1812</v>
      </c>
      <c r="N287" s="80">
        <f t="shared" si="471"/>
        <v>2022</v>
      </c>
      <c r="O287" s="80">
        <f t="shared" si="471"/>
        <v>2232</v>
      </c>
      <c r="P287" s="81"/>
      <c r="Q287" s="81"/>
      <c r="R287" s="81"/>
      <c r="S287" s="81"/>
      <c r="T287" s="81"/>
      <c r="U287" s="81"/>
      <c r="V287" s="81"/>
      <c r="W287" s="81"/>
      <c r="X287" s="81"/>
      <c r="Y287" s="81"/>
      <c r="Z287" s="81"/>
      <c r="AA287" s="81"/>
      <c r="AB287" s="81"/>
      <c r="AC287" s="81"/>
      <c r="AD287" s="81"/>
      <c r="AE287" s="81"/>
      <c r="AF287" s="81"/>
    </row>
    <row r="288" spans="1:32">
      <c r="A288" s="76" t="s">
        <v>1022</v>
      </c>
      <c r="B288" s="79">
        <f>B279*2*1.1</f>
        <v>53680.000000000007</v>
      </c>
      <c r="C288" s="79">
        <f t="shared" ref="C288:I288" si="472">C279*2*1.1</f>
        <v>61380.000000000007</v>
      </c>
      <c r="D288" s="79">
        <f t="shared" si="472"/>
        <v>69080</v>
      </c>
      <c r="E288" s="79">
        <f t="shared" si="472"/>
        <v>76670</v>
      </c>
      <c r="F288" s="79">
        <f t="shared" si="472"/>
        <v>82830</v>
      </c>
      <c r="G288" s="79">
        <f t="shared" si="472"/>
        <v>88990</v>
      </c>
      <c r="H288" s="79">
        <f t="shared" si="472"/>
        <v>95150.000000000015</v>
      </c>
      <c r="I288" s="79">
        <f t="shared" si="472"/>
        <v>101310.00000000001</v>
      </c>
      <c r="J288" s="80">
        <f t="shared" ref="J288:J296" si="473">TRUNC(B288/12*0.3)</f>
        <v>1342</v>
      </c>
      <c r="K288" s="80">
        <f t="shared" ref="K288:K296" si="474">TRUNC((B288+C288)/2/12*0.3)</f>
        <v>1438</v>
      </c>
      <c r="L288" s="80">
        <f t="shared" ref="L288:L296" si="475">TRUNC((D288)/12*0.3)</f>
        <v>1727</v>
      </c>
      <c r="M288" s="80">
        <f t="shared" ref="M288:M296" si="476">TRUNC(((E288+F288)/2)/12*0.3)</f>
        <v>1993</v>
      </c>
      <c r="N288" s="80">
        <f t="shared" ref="N288:N296" si="477">TRUNC(G288/12*0.3)</f>
        <v>2224</v>
      </c>
      <c r="O288" s="80">
        <f t="shared" ref="O288:O296" si="478">TRUNC(((H288+I288)/2)/12*0.3)</f>
        <v>2455</v>
      </c>
      <c r="P288" s="81"/>
      <c r="Q288" s="81"/>
      <c r="R288" s="81"/>
      <c r="S288" s="81"/>
      <c r="T288" s="81"/>
      <c r="U288" s="81"/>
      <c r="V288" s="81"/>
      <c r="W288" s="81"/>
      <c r="X288" s="81"/>
      <c r="Y288" s="81"/>
      <c r="Z288" s="81"/>
      <c r="AA288" s="81"/>
      <c r="AB288" s="81"/>
      <c r="AC288" s="81"/>
      <c r="AD288" s="81"/>
      <c r="AE288" s="81"/>
      <c r="AF288" s="81"/>
    </row>
    <row r="289" spans="1:32">
      <c r="A289" s="76" t="s">
        <v>1023</v>
      </c>
      <c r="B289" s="79">
        <f>B279*2*1.2</f>
        <v>58560</v>
      </c>
      <c r="C289" s="79">
        <f t="shared" ref="C289:I289" si="479">C279*2*1.2</f>
        <v>66960</v>
      </c>
      <c r="D289" s="79">
        <f t="shared" si="479"/>
        <v>75360</v>
      </c>
      <c r="E289" s="79">
        <f t="shared" si="479"/>
        <v>83640</v>
      </c>
      <c r="F289" s="79">
        <f t="shared" si="479"/>
        <v>90360</v>
      </c>
      <c r="G289" s="79">
        <f t="shared" si="479"/>
        <v>97080</v>
      </c>
      <c r="H289" s="79">
        <f t="shared" si="479"/>
        <v>103800</v>
      </c>
      <c r="I289" s="79">
        <f t="shared" si="479"/>
        <v>110520</v>
      </c>
      <c r="J289" s="80">
        <f t="shared" si="473"/>
        <v>1464</v>
      </c>
      <c r="K289" s="80">
        <f t="shared" si="474"/>
        <v>1569</v>
      </c>
      <c r="L289" s="80">
        <f t="shared" si="475"/>
        <v>1884</v>
      </c>
      <c r="M289" s="80">
        <f t="shared" si="476"/>
        <v>2175</v>
      </c>
      <c r="N289" s="80">
        <f t="shared" si="477"/>
        <v>2427</v>
      </c>
      <c r="O289" s="80">
        <f t="shared" si="478"/>
        <v>2679</v>
      </c>
      <c r="P289" s="81"/>
      <c r="Q289" s="81"/>
      <c r="R289" s="81"/>
      <c r="S289" s="81"/>
      <c r="T289" s="81"/>
      <c r="U289" s="81"/>
      <c r="V289" s="81"/>
      <c r="W289" s="81"/>
      <c r="X289" s="81"/>
      <c r="Y289" s="81"/>
      <c r="Z289" s="81"/>
      <c r="AA289" s="81"/>
      <c r="AB289" s="81"/>
      <c r="AC289" s="81"/>
      <c r="AD289" s="81"/>
      <c r="AE289" s="81"/>
      <c r="AF289" s="81"/>
    </row>
    <row r="290" spans="1:32">
      <c r="A290" s="76" t="s">
        <v>1024</v>
      </c>
      <c r="B290" s="79">
        <f>B297*2*0.15</f>
        <v>7320</v>
      </c>
      <c r="C290" s="79">
        <f>C297*2*0.15</f>
        <v>8370</v>
      </c>
      <c r="D290" s="79">
        <f>D297*2*0.15</f>
        <v>9420</v>
      </c>
      <c r="E290" s="79">
        <f>E297*2*0.15</f>
        <v>10455</v>
      </c>
      <c r="F290" s="79">
        <f>F297*2*0.15</f>
        <v>11295</v>
      </c>
      <c r="G290" s="79">
        <f t="shared" ref="G290:I290" si="480">G297*2*0.15</f>
        <v>12135</v>
      </c>
      <c r="H290" s="79">
        <f t="shared" si="480"/>
        <v>12975</v>
      </c>
      <c r="I290" s="79">
        <f t="shared" si="480"/>
        <v>13815</v>
      </c>
      <c r="J290" s="80">
        <f t="shared" si="473"/>
        <v>183</v>
      </c>
      <c r="K290" s="80">
        <f t="shared" si="474"/>
        <v>196</v>
      </c>
      <c r="L290" s="80">
        <f t="shared" si="475"/>
        <v>235</v>
      </c>
      <c r="M290" s="80">
        <f t="shared" si="476"/>
        <v>271</v>
      </c>
      <c r="N290" s="80">
        <f t="shared" si="477"/>
        <v>303</v>
      </c>
      <c r="O290" s="80">
        <f t="shared" si="478"/>
        <v>334</v>
      </c>
      <c r="P290" s="81"/>
      <c r="Q290" s="81"/>
      <c r="R290" s="81"/>
      <c r="S290" s="81"/>
      <c r="T290" s="81"/>
      <c r="U290" s="81"/>
      <c r="V290" s="81"/>
      <c r="W290" s="81"/>
      <c r="X290" s="81"/>
      <c r="Y290" s="81"/>
      <c r="Z290" s="81"/>
      <c r="AA290" s="81"/>
      <c r="AB290" s="81"/>
      <c r="AC290" s="81"/>
      <c r="AD290" s="81"/>
      <c r="AE290" s="81"/>
      <c r="AF290" s="81"/>
    </row>
    <row r="291" spans="1:32">
      <c r="A291" s="76" t="s">
        <v>1025</v>
      </c>
      <c r="B291" s="79">
        <f>B297*2*0.2</f>
        <v>9760</v>
      </c>
      <c r="C291" s="79">
        <f t="shared" ref="C291:I291" si="481">C297*2*0.2</f>
        <v>11160</v>
      </c>
      <c r="D291" s="79">
        <f t="shared" si="481"/>
        <v>12560</v>
      </c>
      <c r="E291" s="79">
        <f t="shared" si="481"/>
        <v>13940</v>
      </c>
      <c r="F291" s="79">
        <f t="shared" si="481"/>
        <v>15060</v>
      </c>
      <c r="G291" s="79">
        <f t="shared" si="481"/>
        <v>16180</v>
      </c>
      <c r="H291" s="79">
        <f t="shared" si="481"/>
        <v>17300</v>
      </c>
      <c r="I291" s="79">
        <f t="shared" si="481"/>
        <v>18420</v>
      </c>
      <c r="J291" s="80">
        <f t="shared" si="473"/>
        <v>244</v>
      </c>
      <c r="K291" s="80">
        <f t="shared" si="474"/>
        <v>261</v>
      </c>
      <c r="L291" s="80">
        <f t="shared" si="475"/>
        <v>314</v>
      </c>
      <c r="M291" s="80">
        <f t="shared" si="476"/>
        <v>362</v>
      </c>
      <c r="N291" s="80">
        <f t="shared" si="477"/>
        <v>404</v>
      </c>
      <c r="O291" s="80">
        <f t="shared" si="478"/>
        <v>446</v>
      </c>
      <c r="P291" s="81"/>
      <c r="Q291" s="81"/>
      <c r="R291" s="81"/>
      <c r="S291" s="81"/>
      <c r="T291" s="81"/>
      <c r="U291" s="81"/>
      <c r="V291" s="81"/>
      <c r="W291" s="81"/>
      <c r="X291" s="81"/>
      <c r="Y291" s="81"/>
      <c r="Z291" s="81"/>
      <c r="AA291" s="81"/>
      <c r="AB291" s="81"/>
      <c r="AC291" s="81"/>
      <c r="AD291" s="81"/>
      <c r="AE291" s="81"/>
      <c r="AF291" s="81"/>
    </row>
    <row r="292" spans="1:32">
      <c r="A292" s="76" t="s">
        <v>1026</v>
      </c>
      <c r="B292" s="79">
        <f>B297*2*0.25</f>
        <v>12200</v>
      </c>
      <c r="C292" s="79">
        <f t="shared" ref="C292:I292" si="482">C297*2*0.25</f>
        <v>13950</v>
      </c>
      <c r="D292" s="79">
        <f t="shared" si="482"/>
        <v>15700</v>
      </c>
      <c r="E292" s="79">
        <f t="shared" si="482"/>
        <v>17425</v>
      </c>
      <c r="F292" s="79">
        <f t="shared" si="482"/>
        <v>18825</v>
      </c>
      <c r="G292" s="79">
        <f t="shared" si="482"/>
        <v>20225</v>
      </c>
      <c r="H292" s="79">
        <f t="shared" si="482"/>
        <v>21625</v>
      </c>
      <c r="I292" s="79">
        <f t="shared" si="482"/>
        <v>23025</v>
      </c>
      <c r="J292" s="80">
        <f t="shared" si="473"/>
        <v>305</v>
      </c>
      <c r="K292" s="80">
        <f t="shared" si="474"/>
        <v>326</v>
      </c>
      <c r="L292" s="80">
        <f t="shared" si="475"/>
        <v>392</v>
      </c>
      <c r="M292" s="80">
        <f t="shared" si="476"/>
        <v>453</v>
      </c>
      <c r="N292" s="80">
        <f t="shared" si="477"/>
        <v>505</v>
      </c>
      <c r="O292" s="80">
        <f t="shared" si="478"/>
        <v>558</v>
      </c>
      <c r="P292" s="81"/>
      <c r="Q292" s="81"/>
      <c r="R292" s="81"/>
      <c r="S292" s="81"/>
      <c r="T292" s="81"/>
      <c r="U292" s="81"/>
      <c r="V292" s="81"/>
      <c r="W292" s="81"/>
      <c r="X292" s="81"/>
      <c r="Y292" s="81"/>
      <c r="Z292" s="81"/>
      <c r="AA292" s="81"/>
      <c r="AB292" s="81"/>
      <c r="AC292" s="81"/>
      <c r="AD292" s="81"/>
      <c r="AE292" s="81"/>
      <c r="AF292" s="81"/>
    </row>
    <row r="293" spans="1:32">
      <c r="A293" s="76" t="s">
        <v>1027</v>
      </c>
      <c r="B293" s="79">
        <f>B297*2*0.3</f>
        <v>14640</v>
      </c>
      <c r="C293" s="79">
        <f t="shared" ref="C293:I293" si="483">C297*2*0.3</f>
        <v>16740</v>
      </c>
      <c r="D293" s="79">
        <f t="shared" si="483"/>
        <v>18840</v>
      </c>
      <c r="E293" s="79">
        <f t="shared" si="483"/>
        <v>20910</v>
      </c>
      <c r="F293" s="79">
        <f t="shared" si="483"/>
        <v>22590</v>
      </c>
      <c r="G293" s="79">
        <f t="shared" si="483"/>
        <v>24270</v>
      </c>
      <c r="H293" s="79">
        <f t="shared" si="483"/>
        <v>25950</v>
      </c>
      <c r="I293" s="79">
        <f t="shared" si="483"/>
        <v>27630</v>
      </c>
      <c r="J293" s="80">
        <f t="shared" si="473"/>
        <v>366</v>
      </c>
      <c r="K293" s="80">
        <f t="shared" si="474"/>
        <v>392</v>
      </c>
      <c r="L293" s="80">
        <f t="shared" si="475"/>
        <v>471</v>
      </c>
      <c r="M293" s="80">
        <f t="shared" si="476"/>
        <v>543</v>
      </c>
      <c r="N293" s="80">
        <f t="shared" si="477"/>
        <v>606</v>
      </c>
      <c r="O293" s="80">
        <f t="shared" si="478"/>
        <v>669</v>
      </c>
      <c r="P293" s="81"/>
      <c r="Q293" s="81"/>
      <c r="R293" s="81"/>
      <c r="S293" s="81"/>
      <c r="T293" s="81"/>
      <c r="U293" s="81"/>
      <c r="V293" s="81"/>
      <c r="W293" s="81"/>
      <c r="X293" s="81"/>
      <c r="Y293" s="81"/>
      <c r="Z293" s="81"/>
      <c r="AA293" s="81"/>
      <c r="AB293" s="81"/>
      <c r="AC293" s="81"/>
      <c r="AD293" s="81"/>
      <c r="AE293" s="81"/>
      <c r="AF293" s="81"/>
    </row>
    <row r="294" spans="1:32">
      <c r="A294" s="76" t="s">
        <v>1028</v>
      </c>
      <c r="B294" s="79">
        <f>B297*2*0.35</f>
        <v>17080</v>
      </c>
      <c r="C294" s="79">
        <f t="shared" ref="C294:I294" si="484">C297*2*0.35</f>
        <v>19530</v>
      </c>
      <c r="D294" s="79">
        <f t="shared" si="484"/>
        <v>21980</v>
      </c>
      <c r="E294" s="79">
        <f t="shared" si="484"/>
        <v>24395</v>
      </c>
      <c r="F294" s="79">
        <f t="shared" si="484"/>
        <v>26355</v>
      </c>
      <c r="G294" s="79">
        <f t="shared" si="484"/>
        <v>28315</v>
      </c>
      <c r="H294" s="79">
        <f t="shared" si="484"/>
        <v>30274.999999999996</v>
      </c>
      <c r="I294" s="79">
        <f t="shared" si="484"/>
        <v>32234.999999999996</v>
      </c>
      <c r="J294" s="80">
        <f t="shared" si="473"/>
        <v>427</v>
      </c>
      <c r="K294" s="80">
        <f t="shared" si="474"/>
        <v>457</v>
      </c>
      <c r="L294" s="80">
        <f t="shared" si="475"/>
        <v>549</v>
      </c>
      <c r="M294" s="80">
        <f t="shared" si="476"/>
        <v>634</v>
      </c>
      <c r="N294" s="80">
        <f t="shared" si="477"/>
        <v>707</v>
      </c>
      <c r="O294" s="80">
        <f t="shared" si="478"/>
        <v>781</v>
      </c>
      <c r="P294" s="81"/>
      <c r="Q294" s="81"/>
      <c r="R294" s="81"/>
      <c r="S294" s="81"/>
      <c r="T294" s="81"/>
      <c r="U294" s="81"/>
      <c r="V294" s="81"/>
      <c r="W294" s="81"/>
      <c r="X294" s="81"/>
      <c r="Y294" s="81"/>
      <c r="Z294" s="81"/>
      <c r="AA294" s="81"/>
      <c r="AB294" s="81"/>
      <c r="AC294" s="81"/>
      <c r="AD294" s="81"/>
      <c r="AE294" s="81"/>
      <c r="AF294" s="81"/>
    </row>
    <row r="295" spans="1:32">
      <c r="A295" s="76" t="s">
        <v>1029</v>
      </c>
      <c r="B295" s="79">
        <f>B297*2*0.4</f>
        <v>19520</v>
      </c>
      <c r="C295" s="79">
        <f t="shared" ref="C295:I295" si="485">C297*2*0.4</f>
        <v>22320</v>
      </c>
      <c r="D295" s="79">
        <f t="shared" si="485"/>
        <v>25120</v>
      </c>
      <c r="E295" s="79">
        <f t="shared" si="485"/>
        <v>27880</v>
      </c>
      <c r="F295" s="79">
        <f t="shared" si="485"/>
        <v>30120</v>
      </c>
      <c r="G295" s="79">
        <f t="shared" si="485"/>
        <v>32360</v>
      </c>
      <c r="H295" s="79">
        <f t="shared" si="485"/>
        <v>34600</v>
      </c>
      <c r="I295" s="79">
        <f t="shared" si="485"/>
        <v>36840</v>
      </c>
      <c r="J295" s="80">
        <f t="shared" si="473"/>
        <v>488</v>
      </c>
      <c r="K295" s="80">
        <f t="shared" si="474"/>
        <v>523</v>
      </c>
      <c r="L295" s="80">
        <f t="shared" si="475"/>
        <v>628</v>
      </c>
      <c r="M295" s="80">
        <f t="shared" si="476"/>
        <v>725</v>
      </c>
      <c r="N295" s="80">
        <f t="shared" si="477"/>
        <v>809</v>
      </c>
      <c r="O295" s="80">
        <f t="shared" si="478"/>
        <v>893</v>
      </c>
      <c r="P295" s="81"/>
      <c r="Q295" s="81"/>
      <c r="R295" s="81"/>
      <c r="S295" s="81"/>
      <c r="T295" s="81"/>
      <c r="U295" s="81"/>
      <c r="V295" s="81"/>
      <c r="W295" s="81"/>
      <c r="X295" s="81"/>
      <c r="Y295" s="81"/>
      <c r="Z295" s="81"/>
      <c r="AA295" s="81"/>
      <c r="AB295" s="81"/>
      <c r="AC295" s="81"/>
      <c r="AD295" s="81"/>
      <c r="AE295" s="81"/>
      <c r="AF295" s="81"/>
    </row>
    <row r="296" spans="1:32">
      <c r="A296" s="76" t="s">
        <v>1030</v>
      </c>
      <c r="B296" s="79">
        <f>B297*2*0.45</f>
        <v>21960</v>
      </c>
      <c r="C296" s="79">
        <f t="shared" ref="C296:I296" si="486">C297*2*0.45</f>
        <v>25110</v>
      </c>
      <c r="D296" s="79">
        <f t="shared" si="486"/>
        <v>28260</v>
      </c>
      <c r="E296" s="79">
        <f t="shared" si="486"/>
        <v>31365</v>
      </c>
      <c r="F296" s="79">
        <f t="shared" si="486"/>
        <v>33885</v>
      </c>
      <c r="G296" s="79">
        <f t="shared" si="486"/>
        <v>36405</v>
      </c>
      <c r="H296" s="79">
        <f t="shared" si="486"/>
        <v>38925</v>
      </c>
      <c r="I296" s="79">
        <f t="shared" si="486"/>
        <v>41445</v>
      </c>
      <c r="J296" s="80">
        <f t="shared" si="473"/>
        <v>549</v>
      </c>
      <c r="K296" s="80">
        <f t="shared" si="474"/>
        <v>588</v>
      </c>
      <c r="L296" s="80">
        <f t="shared" si="475"/>
        <v>706</v>
      </c>
      <c r="M296" s="80">
        <f t="shared" si="476"/>
        <v>815</v>
      </c>
      <c r="N296" s="80">
        <f t="shared" si="477"/>
        <v>910</v>
      </c>
      <c r="O296" s="80">
        <f t="shared" si="478"/>
        <v>1004</v>
      </c>
      <c r="P296" s="81"/>
      <c r="Q296" s="81"/>
      <c r="R296" s="81"/>
      <c r="S296" s="81"/>
      <c r="T296" s="81"/>
      <c r="U296" s="81"/>
      <c r="V296" s="81"/>
      <c r="W296" s="81"/>
      <c r="X296" s="81"/>
      <c r="Y296" s="81"/>
      <c r="Z296" s="81"/>
      <c r="AA296" s="81"/>
      <c r="AB296" s="81"/>
      <c r="AC296" s="81"/>
      <c r="AD296" s="81"/>
      <c r="AE296" s="81"/>
      <c r="AF296" s="81"/>
    </row>
    <row r="297" spans="1:32">
      <c r="A297" s="82" t="s">
        <v>1031</v>
      </c>
      <c r="B297" s="84">
        <f>'MTSP 50% Income Limits '!B18</f>
        <v>24400</v>
      </c>
      <c r="C297" s="84">
        <f>'MTSP 50% Income Limits '!C18</f>
        <v>27900</v>
      </c>
      <c r="D297" s="84">
        <f>'MTSP 50% Income Limits '!D18</f>
        <v>31400</v>
      </c>
      <c r="E297" s="84">
        <f>'MTSP 50% Income Limits '!E18</f>
        <v>34850</v>
      </c>
      <c r="F297" s="84">
        <f>'MTSP 50% Income Limits '!F18</f>
        <v>37650</v>
      </c>
      <c r="G297" s="84">
        <f>'MTSP 50% Income Limits '!G18</f>
        <v>40450</v>
      </c>
      <c r="H297" s="84">
        <f>'MTSP 50% Income Limits '!H18</f>
        <v>43250</v>
      </c>
      <c r="I297" s="84">
        <f>'MTSP 50% Income Limits '!I18</f>
        <v>46050</v>
      </c>
      <c r="J297" s="83">
        <f>TRUNC(B297/12*0.3)</f>
        <v>610</v>
      </c>
      <c r="K297" s="83">
        <f>TRUNC((B297+C297)/2/12*0.3)</f>
        <v>653</v>
      </c>
      <c r="L297" s="83">
        <f>TRUNC((D297)/12*0.3)</f>
        <v>785</v>
      </c>
      <c r="M297" s="83">
        <f>TRUNC(((E297+F297)/2)/12*0.3)</f>
        <v>906</v>
      </c>
      <c r="N297" s="83">
        <f>TRUNC(G297/12*0.3)</f>
        <v>1011</v>
      </c>
      <c r="O297" s="83">
        <f>TRUNC(((H297+I297)/2)/12*0.3)</f>
        <v>1116</v>
      </c>
      <c r="P297" s="81"/>
      <c r="Q297" s="81"/>
      <c r="R297" s="81"/>
      <c r="S297" s="81"/>
      <c r="T297" s="81"/>
      <c r="U297" s="81"/>
      <c r="V297" s="81"/>
      <c r="W297" s="81"/>
      <c r="X297" s="81"/>
      <c r="Y297" s="81"/>
      <c r="Z297" s="81"/>
      <c r="AA297" s="81"/>
      <c r="AB297" s="81"/>
      <c r="AC297" s="81"/>
      <c r="AD297" s="81"/>
      <c r="AE297" s="81"/>
      <c r="AF297" s="81"/>
    </row>
    <row r="298" spans="1:32">
      <c r="A298" s="76" t="s">
        <v>1032</v>
      </c>
      <c r="B298" s="79">
        <f>B297*2*0.55</f>
        <v>26840.000000000004</v>
      </c>
      <c r="C298" s="79">
        <f t="shared" ref="C298:I298" si="487">C297*2*0.55</f>
        <v>30690.000000000004</v>
      </c>
      <c r="D298" s="79">
        <f t="shared" si="487"/>
        <v>34540</v>
      </c>
      <c r="E298" s="79">
        <f t="shared" si="487"/>
        <v>38335</v>
      </c>
      <c r="F298" s="79">
        <f t="shared" si="487"/>
        <v>41415</v>
      </c>
      <c r="G298" s="79">
        <f t="shared" si="487"/>
        <v>44495</v>
      </c>
      <c r="H298" s="79">
        <f t="shared" si="487"/>
        <v>47575.000000000007</v>
      </c>
      <c r="I298" s="79">
        <f t="shared" si="487"/>
        <v>50655.000000000007</v>
      </c>
      <c r="J298" s="80">
        <f t="shared" ref="J298:J304" si="488">TRUNC(B298/12*0.3)</f>
        <v>671</v>
      </c>
      <c r="K298" s="80">
        <f t="shared" ref="K298:K304" si="489">TRUNC((B298+C298)/2/12*0.3)</f>
        <v>719</v>
      </c>
      <c r="L298" s="80">
        <f t="shared" ref="L298:L304" si="490">TRUNC((D298)/12*0.3)</f>
        <v>863</v>
      </c>
      <c r="M298" s="80">
        <f t="shared" ref="M298:M304" si="491">TRUNC(((E298+F298)/2)/12*0.3)</f>
        <v>996</v>
      </c>
      <c r="N298" s="80">
        <f t="shared" ref="N298:N304" si="492">TRUNC(G298/12*0.3)</f>
        <v>1112</v>
      </c>
      <c r="O298" s="80">
        <f t="shared" ref="O298:O304" si="493">TRUNC(((H298+I298)/2)/12*0.3)</f>
        <v>1227</v>
      </c>
      <c r="P298" s="81"/>
      <c r="Q298" s="81"/>
      <c r="R298" s="81"/>
      <c r="S298" s="81"/>
      <c r="T298" s="81"/>
      <c r="U298" s="81"/>
      <c r="V298" s="81"/>
      <c r="W298" s="81"/>
      <c r="X298" s="81"/>
      <c r="Y298" s="81"/>
      <c r="Z298" s="81"/>
      <c r="AA298" s="81"/>
      <c r="AB298" s="81"/>
      <c r="AC298" s="81"/>
      <c r="AD298" s="81"/>
      <c r="AE298" s="81"/>
      <c r="AF298" s="81"/>
    </row>
    <row r="299" spans="1:32">
      <c r="A299" s="76" t="s">
        <v>1033</v>
      </c>
      <c r="B299" s="79">
        <f>B297*2*0.6</f>
        <v>29280</v>
      </c>
      <c r="C299" s="79">
        <f t="shared" ref="C299:I299" si="494">C297*2*0.6</f>
        <v>33480</v>
      </c>
      <c r="D299" s="79">
        <f t="shared" si="494"/>
        <v>37680</v>
      </c>
      <c r="E299" s="79">
        <f t="shared" si="494"/>
        <v>41820</v>
      </c>
      <c r="F299" s="79">
        <f t="shared" si="494"/>
        <v>45180</v>
      </c>
      <c r="G299" s="79">
        <f t="shared" si="494"/>
        <v>48540</v>
      </c>
      <c r="H299" s="79">
        <f t="shared" si="494"/>
        <v>51900</v>
      </c>
      <c r="I299" s="79">
        <f t="shared" si="494"/>
        <v>55260</v>
      </c>
      <c r="J299" s="80">
        <f t="shared" si="488"/>
        <v>732</v>
      </c>
      <c r="K299" s="80">
        <f t="shared" si="489"/>
        <v>784</v>
      </c>
      <c r="L299" s="80">
        <f t="shared" si="490"/>
        <v>942</v>
      </c>
      <c r="M299" s="80">
        <f t="shared" si="491"/>
        <v>1087</v>
      </c>
      <c r="N299" s="80">
        <f t="shared" si="492"/>
        <v>1213</v>
      </c>
      <c r="O299" s="80">
        <f t="shared" si="493"/>
        <v>1339</v>
      </c>
      <c r="P299" s="81"/>
      <c r="Q299" s="81"/>
      <c r="R299" s="81"/>
      <c r="S299" s="81"/>
      <c r="T299" s="81"/>
      <c r="U299" s="81"/>
      <c r="V299" s="81"/>
      <c r="W299" s="81"/>
      <c r="X299" s="81"/>
      <c r="Y299" s="81"/>
      <c r="Z299" s="81"/>
      <c r="AA299" s="81"/>
      <c r="AB299" s="81"/>
      <c r="AC299" s="81"/>
      <c r="AD299" s="81"/>
      <c r="AE299" s="81"/>
      <c r="AF299" s="81"/>
    </row>
    <row r="300" spans="1:32">
      <c r="A300" s="76" t="s">
        <v>1034</v>
      </c>
      <c r="B300" s="79">
        <f>B297*2*0.65</f>
        <v>31720</v>
      </c>
      <c r="C300" s="79">
        <f t="shared" ref="C300:I300" si="495">C297*2*0.65</f>
        <v>36270</v>
      </c>
      <c r="D300" s="79">
        <f t="shared" si="495"/>
        <v>40820</v>
      </c>
      <c r="E300" s="79">
        <f t="shared" si="495"/>
        <v>45305</v>
      </c>
      <c r="F300" s="79">
        <f t="shared" si="495"/>
        <v>48945</v>
      </c>
      <c r="G300" s="79">
        <f t="shared" si="495"/>
        <v>52585</v>
      </c>
      <c r="H300" s="79">
        <f t="shared" si="495"/>
        <v>56225</v>
      </c>
      <c r="I300" s="79">
        <f t="shared" si="495"/>
        <v>59865</v>
      </c>
      <c r="J300" s="80">
        <f t="shared" si="488"/>
        <v>793</v>
      </c>
      <c r="K300" s="80">
        <f t="shared" si="489"/>
        <v>849</v>
      </c>
      <c r="L300" s="80">
        <f t="shared" si="490"/>
        <v>1020</v>
      </c>
      <c r="M300" s="80">
        <f t="shared" si="491"/>
        <v>1178</v>
      </c>
      <c r="N300" s="80">
        <f t="shared" si="492"/>
        <v>1314</v>
      </c>
      <c r="O300" s="80">
        <f t="shared" si="493"/>
        <v>1451</v>
      </c>
      <c r="P300" s="81"/>
      <c r="Q300" s="81"/>
      <c r="R300" s="81"/>
      <c r="S300" s="81"/>
      <c r="T300" s="81"/>
      <c r="U300" s="81"/>
      <c r="V300" s="81"/>
      <c r="W300" s="81"/>
      <c r="X300" s="81"/>
      <c r="Y300" s="81"/>
      <c r="Z300" s="81"/>
      <c r="AA300" s="81"/>
      <c r="AB300" s="81"/>
      <c r="AC300" s="81"/>
      <c r="AD300" s="81"/>
      <c r="AE300" s="81"/>
      <c r="AF300" s="81"/>
    </row>
    <row r="301" spans="1:32">
      <c r="A301" s="76" t="s">
        <v>1035</v>
      </c>
      <c r="B301" s="79">
        <f>B297*2*0.7</f>
        <v>34160</v>
      </c>
      <c r="C301" s="79">
        <f t="shared" ref="C301:I301" si="496">C297*2*0.7</f>
        <v>39060</v>
      </c>
      <c r="D301" s="79">
        <f t="shared" si="496"/>
        <v>43960</v>
      </c>
      <c r="E301" s="79">
        <f t="shared" si="496"/>
        <v>48790</v>
      </c>
      <c r="F301" s="79">
        <f t="shared" si="496"/>
        <v>52710</v>
      </c>
      <c r="G301" s="79">
        <f t="shared" si="496"/>
        <v>56630</v>
      </c>
      <c r="H301" s="79">
        <f t="shared" si="496"/>
        <v>60549.999999999993</v>
      </c>
      <c r="I301" s="79">
        <f t="shared" si="496"/>
        <v>64469.999999999993</v>
      </c>
      <c r="J301" s="80">
        <f t="shared" si="488"/>
        <v>854</v>
      </c>
      <c r="K301" s="80">
        <f t="shared" si="489"/>
        <v>915</v>
      </c>
      <c r="L301" s="80">
        <f t="shared" si="490"/>
        <v>1099</v>
      </c>
      <c r="M301" s="80">
        <f t="shared" si="491"/>
        <v>1268</v>
      </c>
      <c r="N301" s="80">
        <f t="shared" si="492"/>
        <v>1415</v>
      </c>
      <c r="O301" s="80">
        <f t="shared" si="493"/>
        <v>1562</v>
      </c>
      <c r="P301" s="81"/>
      <c r="Q301" s="81"/>
      <c r="R301" s="81"/>
      <c r="S301" s="81"/>
      <c r="T301" s="81"/>
      <c r="U301" s="81"/>
      <c r="V301" s="81"/>
      <c r="W301" s="81"/>
      <c r="X301" s="81"/>
      <c r="Y301" s="81"/>
      <c r="Z301" s="81"/>
      <c r="AA301" s="81"/>
      <c r="AB301" s="81"/>
      <c r="AC301" s="81"/>
      <c r="AD301" s="81"/>
      <c r="AE301" s="81"/>
      <c r="AF301" s="81"/>
    </row>
    <row r="302" spans="1:32">
      <c r="A302" s="76" t="s">
        <v>1036</v>
      </c>
      <c r="B302" s="79">
        <f>B297*2*0.75</f>
        <v>36600</v>
      </c>
      <c r="C302" s="79">
        <f t="shared" ref="C302:I302" si="497">C297*2*0.75</f>
        <v>41850</v>
      </c>
      <c r="D302" s="79">
        <f t="shared" si="497"/>
        <v>47100</v>
      </c>
      <c r="E302" s="79">
        <f t="shared" si="497"/>
        <v>52275</v>
      </c>
      <c r="F302" s="79">
        <f t="shared" si="497"/>
        <v>56475</v>
      </c>
      <c r="G302" s="79">
        <f t="shared" si="497"/>
        <v>60675</v>
      </c>
      <c r="H302" s="79">
        <f t="shared" si="497"/>
        <v>64875</v>
      </c>
      <c r="I302" s="79">
        <f t="shared" si="497"/>
        <v>69075</v>
      </c>
      <c r="J302" s="80">
        <f t="shared" si="488"/>
        <v>915</v>
      </c>
      <c r="K302" s="80">
        <f t="shared" si="489"/>
        <v>980</v>
      </c>
      <c r="L302" s="80">
        <f t="shared" si="490"/>
        <v>1177</v>
      </c>
      <c r="M302" s="80">
        <f t="shared" si="491"/>
        <v>1359</v>
      </c>
      <c r="N302" s="80">
        <f t="shared" si="492"/>
        <v>1516</v>
      </c>
      <c r="O302" s="80">
        <f t="shared" si="493"/>
        <v>1674</v>
      </c>
      <c r="P302" s="81"/>
      <c r="Q302" s="81"/>
      <c r="R302" s="81"/>
      <c r="S302" s="81"/>
      <c r="T302" s="81"/>
      <c r="U302" s="81"/>
      <c r="V302" s="81"/>
      <c r="W302" s="81"/>
      <c r="X302" s="81"/>
      <c r="Y302" s="81"/>
      <c r="Z302" s="81"/>
      <c r="AA302" s="81"/>
      <c r="AB302" s="81"/>
      <c r="AC302" s="81"/>
      <c r="AD302" s="81"/>
      <c r="AE302" s="81"/>
      <c r="AF302" s="81"/>
    </row>
    <row r="303" spans="1:32">
      <c r="A303" s="76" t="s">
        <v>1037</v>
      </c>
      <c r="B303" s="79">
        <f>B297*2*0.8</f>
        <v>39040</v>
      </c>
      <c r="C303" s="79">
        <f t="shared" ref="C303:I303" si="498">C297*2*0.8</f>
        <v>44640</v>
      </c>
      <c r="D303" s="79">
        <f t="shared" si="498"/>
        <v>50240</v>
      </c>
      <c r="E303" s="79">
        <f t="shared" si="498"/>
        <v>55760</v>
      </c>
      <c r="F303" s="79">
        <f t="shared" si="498"/>
        <v>60240</v>
      </c>
      <c r="G303" s="79">
        <f t="shared" si="498"/>
        <v>64720</v>
      </c>
      <c r="H303" s="79">
        <f t="shared" si="498"/>
        <v>69200</v>
      </c>
      <c r="I303" s="79">
        <f t="shared" si="498"/>
        <v>73680</v>
      </c>
      <c r="J303" s="80">
        <f t="shared" si="488"/>
        <v>976</v>
      </c>
      <c r="K303" s="80">
        <f t="shared" si="489"/>
        <v>1046</v>
      </c>
      <c r="L303" s="80">
        <f t="shared" si="490"/>
        <v>1256</v>
      </c>
      <c r="M303" s="80">
        <f t="shared" si="491"/>
        <v>1450</v>
      </c>
      <c r="N303" s="80">
        <f t="shared" si="492"/>
        <v>1618</v>
      </c>
      <c r="O303" s="80">
        <f t="shared" si="493"/>
        <v>1786</v>
      </c>
      <c r="P303" s="81"/>
      <c r="Q303" s="81"/>
      <c r="R303" s="81"/>
      <c r="S303" s="81"/>
      <c r="T303" s="81"/>
      <c r="U303" s="81"/>
      <c r="V303" s="81"/>
      <c r="W303" s="81"/>
      <c r="X303" s="81"/>
      <c r="Y303" s="81"/>
      <c r="Z303" s="81"/>
      <c r="AA303" s="81"/>
      <c r="AB303" s="81"/>
      <c r="AC303" s="81"/>
      <c r="AD303" s="81"/>
      <c r="AE303" s="81"/>
      <c r="AF303" s="81"/>
    </row>
    <row r="304" spans="1:32">
      <c r="A304" s="76" t="s">
        <v>1038</v>
      </c>
      <c r="B304" s="79">
        <f>B297*2*0.9</f>
        <v>43920</v>
      </c>
      <c r="C304" s="79">
        <f t="shared" ref="C304:I304" si="499">C297*2*0.9</f>
        <v>50220</v>
      </c>
      <c r="D304" s="79">
        <f t="shared" si="499"/>
        <v>56520</v>
      </c>
      <c r="E304" s="79">
        <f t="shared" si="499"/>
        <v>62730</v>
      </c>
      <c r="F304" s="79">
        <f t="shared" si="499"/>
        <v>67770</v>
      </c>
      <c r="G304" s="79">
        <f t="shared" si="499"/>
        <v>72810</v>
      </c>
      <c r="H304" s="79">
        <f t="shared" si="499"/>
        <v>77850</v>
      </c>
      <c r="I304" s="79">
        <f t="shared" si="499"/>
        <v>82890</v>
      </c>
      <c r="J304" s="80">
        <f t="shared" si="488"/>
        <v>1098</v>
      </c>
      <c r="K304" s="80">
        <f t="shared" si="489"/>
        <v>1176</v>
      </c>
      <c r="L304" s="80">
        <f t="shared" si="490"/>
        <v>1413</v>
      </c>
      <c r="M304" s="80">
        <f t="shared" si="491"/>
        <v>1631</v>
      </c>
      <c r="N304" s="80">
        <f t="shared" si="492"/>
        <v>1820</v>
      </c>
      <c r="O304" s="80">
        <f t="shared" si="493"/>
        <v>2009</v>
      </c>
      <c r="P304" s="81"/>
      <c r="Q304" s="81"/>
      <c r="R304" s="81"/>
      <c r="S304" s="81"/>
      <c r="T304" s="81"/>
      <c r="U304" s="81"/>
      <c r="V304" s="81"/>
      <c r="W304" s="81"/>
      <c r="X304" s="81"/>
      <c r="Y304" s="81"/>
      <c r="Z304" s="81"/>
      <c r="AA304" s="81"/>
      <c r="AB304" s="81"/>
      <c r="AC304" s="81"/>
      <c r="AD304" s="81"/>
      <c r="AE304" s="81"/>
      <c r="AF304" s="81"/>
    </row>
    <row r="305" spans="1:32">
      <c r="A305" s="76" t="s">
        <v>1039</v>
      </c>
      <c r="B305" s="79">
        <f>B297*2</f>
        <v>48800</v>
      </c>
      <c r="C305" s="79">
        <f t="shared" ref="C305:I305" si="500">C297*2</f>
        <v>55800</v>
      </c>
      <c r="D305" s="79">
        <f t="shared" si="500"/>
        <v>62800</v>
      </c>
      <c r="E305" s="79">
        <f t="shared" si="500"/>
        <v>69700</v>
      </c>
      <c r="F305" s="79">
        <f t="shared" si="500"/>
        <v>75300</v>
      </c>
      <c r="G305" s="79">
        <f t="shared" si="500"/>
        <v>80900</v>
      </c>
      <c r="H305" s="79">
        <f t="shared" si="500"/>
        <v>86500</v>
      </c>
      <c r="I305" s="79">
        <f t="shared" si="500"/>
        <v>92100</v>
      </c>
      <c r="J305" s="80">
        <f>J297*2</f>
        <v>1220</v>
      </c>
      <c r="K305" s="80">
        <f t="shared" ref="K305:O305" si="501">K297*2</f>
        <v>1306</v>
      </c>
      <c r="L305" s="80">
        <f t="shared" si="501"/>
        <v>1570</v>
      </c>
      <c r="M305" s="80">
        <f t="shared" si="501"/>
        <v>1812</v>
      </c>
      <c r="N305" s="80">
        <f t="shared" si="501"/>
        <v>2022</v>
      </c>
      <c r="O305" s="80">
        <f t="shared" si="501"/>
        <v>2232</v>
      </c>
      <c r="P305" s="81"/>
      <c r="Q305" s="81"/>
      <c r="R305" s="81"/>
      <c r="S305" s="81"/>
      <c r="T305" s="81"/>
      <c r="U305" s="81"/>
      <c r="V305" s="81"/>
      <c r="W305" s="81"/>
      <c r="X305" s="81"/>
      <c r="Y305" s="81"/>
      <c r="Z305" s="81"/>
      <c r="AA305" s="81"/>
      <c r="AB305" s="81"/>
      <c r="AC305" s="81"/>
      <c r="AD305" s="81"/>
      <c r="AE305" s="81"/>
      <c r="AF305" s="81"/>
    </row>
    <row r="306" spans="1:32">
      <c r="A306" s="76" t="s">
        <v>1040</v>
      </c>
      <c r="B306" s="79">
        <f>B297*2*1.1</f>
        <v>53680.000000000007</v>
      </c>
      <c r="C306" s="79">
        <f t="shared" ref="C306:I306" si="502">C297*2*1.1</f>
        <v>61380.000000000007</v>
      </c>
      <c r="D306" s="79">
        <f t="shared" si="502"/>
        <v>69080</v>
      </c>
      <c r="E306" s="79">
        <f t="shared" si="502"/>
        <v>76670</v>
      </c>
      <c r="F306" s="79">
        <f t="shared" si="502"/>
        <v>82830</v>
      </c>
      <c r="G306" s="79">
        <f t="shared" si="502"/>
        <v>88990</v>
      </c>
      <c r="H306" s="79">
        <f t="shared" si="502"/>
        <v>95150.000000000015</v>
      </c>
      <c r="I306" s="79">
        <f t="shared" si="502"/>
        <v>101310.00000000001</v>
      </c>
      <c r="J306" s="80">
        <f t="shared" ref="J306:J314" si="503">TRUNC(B306/12*0.3)</f>
        <v>1342</v>
      </c>
      <c r="K306" s="80">
        <f t="shared" ref="K306:K314" si="504">TRUNC((B306+C306)/2/12*0.3)</f>
        <v>1438</v>
      </c>
      <c r="L306" s="80">
        <f t="shared" ref="L306:L314" si="505">TRUNC((D306)/12*0.3)</f>
        <v>1727</v>
      </c>
      <c r="M306" s="80">
        <f t="shared" ref="M306:M314" si="506">TRUNC(((E306+F306)/2)/12*0.3)</f>
        <v>1993</v>
      </c>
      <c r="N306" s="80">
        <f t="shared" ref="N306:N314" si="507">TRUNC(G306/12*0.3)</f>
        <v>2224</v>
      </c>
      <c r="O306" s="80">
        <f t="shared" ref="O306:O314" si="508">TRUNC(((H306+I306)/2)/12*0.3)</f>
        <v>2455</v>
      </c>
      <c r="P306" s="81"/>
      <c r="Q306" s="81"/>
      <c r="R306" s="81"/>
      <c r="S306" s="81"/>
      <c r="T306" s="81"/>
      <c r="U306" s="81"/>
      <c r="V306" s="81"/>
      <c r="W306" s="81"/>
      <c r="X306" s="81"/>
      <c r="Y306" s="81"/>
      <c r="Z306" s="81"/>
      <c r="AA306" s="81"/>
      <c r="AB306" s="81"/>
      <c r="AC306" s="81"/>
      <c r="AD306" s="81"/>
      <c r="AE306" s="81"/>
      <c r="AF306" s="81"/>
    </row>
    <row r="307" spans="1:32">
      <c r="A307" s="76" t="s">
        <v>1041</v>
      </c>
      <c r="B307" s="79">
        <f>B297*2*1.2</f>
        <v>58560</v>
      </c>
      <c r="C307" s="79">
        <f t="shared" ref="C307:I307" si="509">C297*2*1.2</f>
        <v>66960</v>
      </c>
      <c r="D307" s="79">
        <f t="shared" si="509"/>
        <v>75360</v>
      </c>
      <c r="E307" s="79">
        <f t="shared" si="509"/>
        <v>83640</v>
      </c>
      <c r="F307" s="79">
        <f t="shared" si="509"/>
        <v>90360</v>
      </c>
      <c r="G307" s="79">
        <f t="shared" si="509"/>
        <v>97080</v>
      </c>
      <c r="H307" s="79">
        <f t="shared" si="509"/>
        <v>103800</v>
      </c>
      <c r="I307" s="79">
        <f t="shared" si="509"/>
        <v>110520</v>
      </c>
      <c r="J307" s="80">
        <f t="shared" si="503"/>
        <v>1464</v>
      </c>
      <c r="K307" s="80">
        <f t="shared" si="504"/>
        <v>1569</v>
      </c>
      <c r="L307" s="80">
        <f t="shared" si="505"/>
        <v>1884</v>
      </c>
      <c r="M307" s="80">
        <f t="shared" si="506"/>
        <v>2175</v>
      </c>
      <c r="N307" s="80">
        <f t="shared" si="507"/>
        <v>2427</v>
      </c>
      <c r="O307" s="80">
        <f t="shared" si="508"/>
        <v>2679</v>
      </c>
      <c r="P307" s="81"/>
      <c r="Q307" s="81"/>
      <c r="R307" s="81"/>
      <c r="S307" s="81"/>
      <c r="T307" s="81"/>
      <c r="U307" s="81"/>
      <c r="V307" s="81"/>
      <c r="W307" s="81"/>
      <c r="X307" s="81"/>
      <c r="Y307" s="81"/>
      <c r="Z307" s="81"/>
      <c r="AA307" s="81"/>
      <c r="AB307" s="81"/>
      <c r="AC307" s="81"/>
      <c r="AD307" s="81"/>
      <c r="AE307" s="81"/>
      <c r="AF307" s="81"/>
    </row>
    <row r="308" spans="1:32">
      <c r="A308" s="76" t="s">
        <v>1042</v>
      </c>
      <c r="B308" s="79">
        <f>B315*2*0.15</f>
        <v>7590</v>
      </c>
      <c r="C308" s="79">
        <f>C315*2*0.15</f>
        <v>8670</v>
      </c>
      <c r="D308" s="79">
        <f>D315*2*0.15</f>
        <v>9750</v>
      </c>
      <c r="E308" s="79">
        <f>E315*2*0.15</f>
        <v>10830</v>
      </c>
      <c r="F308" s="79">
        <f>F315*2*0.15</f>
        <v>11700</v>
      </c>
      <c r="G308" s="79">
        <f t="shared" ref="G308:I308" si="510">G315*2*0.15</f>
        <v>12570</v>
      </c>
      <c r="H308" s="79">
        <f t="shared" si="510"/>
        <v>13440</v>
      </c>
      <c r="I308" s="79">
        <f t="shared" si="510"/>
        <v>14310</v>
      </c>
      <c r="J308" s="80">
        <f t="shared" si="503"/>
        <v>189</v>
      </c>
      <c r="K308" s="80">
        <f t="shared" si="504"/>
        <v>203</v>
      </c>
      <c r="L308" s="80">
        <f t="shared" si="505"/>
        <v>243</v>
      </c>
      <c r="M308" s="80">
        <f t="shared" si="506"/>
        <v>281</v>
      </c>
      <c r="N308" s="80">
        <f t="shared" si="507"/>
        <v>314</v>
      </c>
      <c r="O308" s="80">
        <f t="shared" si="508"/>
        <v>346</v>
      </c>
      <c r="P308" s="81"/>
      <c r="Q308" s="81"/>
      <c r="R308" s="81"/>
      <c r="S308" s="81"/>
      <c r="T308" s="81"/>
      <c r="U308" s="81"/>
      <c r="V308" s="81"/>
      <c r="W308" s="81"/>
      <c r="X308" s="81"/>
      <c r="Y308" s="81"/>
      <c r="Z308" s="81"/>
      <c r="AA308" s="81"/>
      <c r="AB308" s="81"/>
      <c r="AC308" s="81"/>
      <c r="AD308" s="81"/>
      <c r="AE308" s="81"/>
      <c r="AF308" s="81"/>
    </row>
    <row r="309" spans="1:32">
      <c r="A309" s="76" t="s">
        <v>1043</v>
      </c>
      <c r="B309" s="79">
        <f>B315*2*0.2</f>
        <v>10120</v>
      </c>
      <c r="C309" s="79">
        <f t="shared" ref="C309:I309" si="511">C315*2*0.2</f>
        <v>11560</v>
      </c>
      <c r="D309" s="79">
        <f t="shared" si="511"/>
        <v>13000</v>
      </c>
      <c r="E309" s="79">
        <f t="shared" si="511"/>
        <v>14440</v>
      </c>
      <c r="F309" s="79">
        <f t="shared" si="511"/>
        <v>15600</v>
      </c>
      <c r="G309" s="79">
        <f t="shared" si="511"/>
        <v>16760</v>
      </c>
      <c r="H309" s="79">
        <f t="shared" si="511"/>
        <v>17920</v>
      </c>
      <c r="I309" s="79">
        <f t="shared" si="511"/>
        <v>19080</v>
      </c>
      <c r="J309" s="80">
        <f t="shared" si="503"/>
        <v>253</v>
      </c>
      <c r="K309" s="80">
        <f t="shared" si="504"/>
        <v>271</v>
      </c>
      <c r="L309" s="80">
        <f t="shared" si="505"/>
        <v>325</v>
      </c>
      <c r="M309" s="80">
        <f t="shared" si="506"/>
        <v>375</v>
      </c>
      <c r="N309" s="80">
        <f t="shared" si="507"/>
        <v>419</v>
      </c>
      <c r="O309" s="80">
        <f t="shared" si="508"/>
        <v>462</v>
      </c>
      <c r="P309" s="81"/>
      <c r="Q309" s="81"/>
      <c r="R309" s="81"/>
      <c r="S309" s="81"/>
      <c r="T309" s="81"/>
      <c r="U309" s="81"/>
      <c r="V309" s="81"/>
      <c r="W309" s="81"/>
      <c r="X309" s="81"/>
      <c r="Y309" s="81"/>
      <c r="Z309" s="81"/>
      <c r="AA309" s="81"/>
      <c r="AB309" s="81"/>
      <c r="AC309" s="81"/>
      <c r="AD309" s="81"/>
      <c r="AE309" s="81"/>
      <c r="AF309" s="81"/>
    </row>
    <row r="310" spans="1:32">
      <c r="A310" s="76" t="s">
        <v>1044</v>
      </c>
      <c r="B310" s="79">
        <f>B315*2*0.25</f>
        <v>12650</v>
      </c>
      <c r="C310" s="79">
        <f t="shared" ref="C310:I310" si="512">C315*2*0.25</f>
        <v>14450</v>
      </c>
      <c r="D310" s="79">
        <f t="shared" si="512"/>
        <v>16250</v>
      </c>
      <c r="E310" s="79">
        <f t="shared" si="512"/>
        <v>18050</v>
      </c>
      <c r="F310" s="79">
        <f t="shared" si="512"/>
        <v>19500</v>
      </c>
      <c r="G310" s="79">
        <f t="shared" si="512"/>
        <v>20950</v>
      </c>
      <c r="H310" s="79">
        <f t="shared" si="512"/>
        <v>22400</v>
      </c>
      <c r="I310" s="79">
        <f t="shared" si="512"/>
        <v>23850</v>
      </c>
      <c r="J310" s="80">
        <f t="shared" si="503"/>
        <v>316</v>
      </c>
      <c r="K310" s="80">
        <f t="shared" si="504"/>
        <v>338</v>
      </c>
      <c r="L310" s="80">
        <f t="shared" si="505"/>
        <v>406</v>
      </c>
      <c r="M310" s="80">
        <f t="shared" si="506"/>
        <v>469</v>
      </c>
      <c r="N310" s="80">
        <f t="shared" si="507"/>
        <v>523</v>
      </c>
      <c r="O310" s="80">
        <f t="shared" si="508"/>
        <v>578</v>
      </c>
      <c r="P310" s="81"/>
      <c r="Q310" s="81"/>
      <c r="R310" s="81"/>
      <c r="S310" s="81"/>
      <c r="T310" s="81"/>
      <c r="U310" s="81"/>
      <c r="V310" s="81"/>
      <c r="W310" s="81"/>
      <c r="X310" s="81"/>
      <c r="Y310" s="81"/>
      <c r="Z310" s="81"/>
      <c r="AA310" s="81"/>
      <c r="AB310" s="81"/>
      <c r="AC310" s="81"/>
      <c r="AD310" s="81"/>
      <c r="AE310" s="81"/>
      <c r="AF310" s="81"/>
    </row>
    <row r="311" spans="1:32">
      <c r="A311" s="76" t="s">
        <v>1045</v>
      </c>
      <c r="B311" s="79">
        <f>B315*2*0.3</f>
        <v>15180</v>
      </c>
      <c r="C311" s="79">
        <f t="shared" ref="C311:I311" si="513">C315*2*0.3</f>
        <v>17340</v>
      </c>
      <c r="D311" s="79">
        <f t="shared" si="513"/>
        <v>19500</v>
      </c>
      <c r="E311" s="79">
        <f t="shared" si="513"/>
        <v>21660</v>
      </c>
      <c r="F311" s="79">
        <f t="shared" si="513"/>
        <v>23400</v>
      </c>
      <c r="G311" s="79">
        <f t="shared" si="513"/>
        <v>25140</v>
      </c>
      <c r="H311" s="79">
        <f t="shared" si="513"/>
        <v>26880</v>
      </c>
      <c r="I311" s="79">
        <f t="shared" si="513"/>
        <v>28620</v>
      </c>
      <c r="J311" s="80">
        <f t="shared" si="503"/>
        <v>379</v>
      </c>
      <c r="K311" s="80">
        <f t="shared" si="504"/>
        <v>406</v>
      </c>
      <c r="L311" s="80">
        <f t="shared" si="505"/>
        <v>487</v>
      </c>
      <c r="M311" s="80">
        <f t="shared" si="506"/>
        <v>563</v>
      </c>
      <c r="N311" s="80">
        <f t="shared" si="507"/>
        <v>628</v>
      </c>
      <c r="O311" s="80">
        <f t="shared" si="508"/>
        <v>693</v>
      </c>
      <c r="P311" s="81"/>
      <c r="Q311" s="81"/>
      <c r="R311" s="81"/>
      <c r="S311" s="81"/>
      <c r="T311" s="81"/>
      <c r="U311" s="81"/>
      <c r="V311" s="81"/>
      <c r="W311" s="81"/>
      <c r="X311" s="81"/>
      <c r="Y311" s="81"/>
      <c r="Z311" s="81"/>
      <c r="AA311" s="81"/>
      <c r="AB311" s="81"/>
      <c r="AC311" s="81"/>
      <c r="AD311" s="81"/>
      <c r="AE311" s="81"/>
      <c r="AF311" s="81"/>
    </row>
    <row r="312" spans="1:32">
      <c r="A312" s="76" t="s">
        <v>1046</v>
      </c>
      <c r="B312" s="79">
        <f>B315*2*0.35</f>
        <v>17710</v>
      </c>
      <c r="C312" s="79">
        <f t="shared" ref="C312:I312" si="514">C315*2*0.35</f>
        <v>20230</v>
      </c>
      <c r="D312" s="79">
        <f t="shared" si="514"/>
        <v>22750</v>
      </c>
      <c r="E312" s="79">
        <f t="shared" si="514"/>
        <v>25270</v>
      </c>
      <c r="F312" s="79">
        <f t="shared" si="514"/>
        <v>27300</v>
      </c>
      <c r="G312" s="79">
        <f t="shared" si="514"/>
        <v>29329.999999999996</v>
      </c>
      <c r="H312" s="79">
        <f t="shared" si="514"/>
        <v>31359.999999999996</v>
      </c>
      <c r="I312" s="79">
        <f t="shared" si="514"/>
        <v>33390</v>
      </c>
      <c r="J312" s="80">
        <f t="shared" si="503"/>
        <v>442</v>
      </c>
      <c r="K312" s="80">
        <f t="shared" si="504"/>
        <v>474</v>
      </c>
      <c r="L312" s="80">
        <f t="shared" si="505"/>
        <v>568</v>
      </c>
      <c r="M312" s="80">
        <f t="shared" si="506"/>
        <v>657</v>
      </c>
      <c r="N312" s="80">
        <f t="shared" si="507"/>
        <v>733</v>
      </c>
      <c r="O312" s="80">
        <f t="shared" si="508"/>
        <v>809</v>
      </c>
      <c r="P312" s="81"/>
      <c r="Q312" s="81"/>
      <c r="R312" s="81"/>
      <c r="S312" s="81"/>
      <c r="T312" s="81"/>
      <c r="U312" s="81"/>
      <c r="V312" s="81"/>
      <c r="W312" s="81"/>
      <c r="X312" s="81"/>
      <c r="Y312" s="81"/>
      <c r="Z312" s="81"/>
      <c r="AA312" s="81"/>
      <c r="AB312" s="81"/>
      <c r="AC312" s="81"/>
      <c r="AD312" s="81"/>
      <c r="AE312" s="81"/>
      <c r="AF312" s="81"/>
    </row>
    <row r="313" spans="1:32">
      <c r="A313" s="76" t="s">
        <v>1047</v>
      </c>
      <c r="B313" s="79">
        <f>B315*2*0.4</f>
        <v>20240</v>
      </c>
      <c r="C313" s="79">
        <f t="shared" ref="C313:I313" si="515">C315*2*0.4</f>
        <v>23120</v>
      </c>
      <c r="D313" s="79">
        <f t="shared" si="515"/>
        <v>26000</v>
      </c>
      <c r="E313" s="79">
        <f t="shared" si="515"/>
        <v>28880</v>
      </c>
      <c r="F313" s="79">
        <f t="shared" si="515"/>
        <v>31200</v>
      </c>
      <c r="G313" s="79">
        <f t="shared" si="515"/>
        <v>33520</v>
      </c>
      <c r="H313" s="79">
        <f t="shared" si="515"/>
        <v>35840</v>
      </c>
      <c r="I313" s="79">
        <f t="shared" si="515"/>
        <v>38160</v>
      </c>
      <c r="J313" s="80">
        <f t="shared" si="503"/>
        <v>506</v>
      </c>
      <c r="K313" s="80">
        <f t="shared" si="504"/>
        <v>542</v>
      </c>
      <c r="L313" s="80">
        <f t="shared" si="505"/>
        <v>650</v>
      </c>
      <c r="M313" s="80">
        <f t="shared" si="506"/>
        <v>751</v>
      </c>
      <c r="N313" s="80">
        <f t="shared" si="507"/>
        <v>838</v>
      </c>
      <c r="O313" s="80">
        <f t="shared" si="508"/>
        <v>925</v>
      </c>
      <c r="P313" s="81"/>
      <c r="Q313" s="81"/>
      <c r="R313" s="81"/>
      <c r="S313" s="81"/>
      <c r="T313" s="81"/>
      <c r="U313" s="81"/>
      <c r="V313" s="81"/>
      <c r="W313" s="81"/>
      <c r="X313" s="81"/>
      <c r="Y313" s="81"/>
      <c r="Z313" s="81"/>
      <c r="AA313" s="81"/>
      <c r="AB313" s="81"/>
      <c r="AC313" s="81"/>
      <c r="AD313" s="81"/>
      <c r="AE313" s="81"/>
      <c r="AF313" s="81"/>
    </row>
    <row r="314" spans="1:32">
      <c r="A314" s="76" t="s">
        <v>1048</v>
      </c>
      <c r="B314" s="79">
        <f>B315*2*0.45</f>
        <v>22770</v>
      </c>
      <c r="C314" s="79">
        <f t="shared" ref="C314:I314" si="516">C315*2*0.45</f>
        <v>26010</v>
      </c>
      <c r="D314" s="79">
        <f t="shared" si="516"/>
        <v>29250</v>
      </c>
      <c r="E314" s="79">
        <f t="shared" si="516"/>
        <v>32490</v>
      </c>
      <c r="F314" s="79">
        <f t="shared" si="516"/>
        <v>35100</v>
      </c>
      <c r="G314" s="79">
        <f t="shared" si="516"/>
        <v>37710</v>
      </c>
      <c r="H314" s="79">
        <f t="shared" si="516"/>
        <v>40320</v>
      </c>
      <c r="I314" s="79">
        <f t="shared" si="516"/>
        <v>42930</v>
      </c>
      <c r="J314" s="80">
        <f t="shared" si="503"/>
        <v>569</v>
      </c>
      <c r="K314" s="80">
        <f t="shared" si="504"/>
        <v>609</v>
      </c>
      <c r="L314" s="80">
        <f t="shared" si="505"/>
        <v>731</v>
      </c>
      <c r="M314" s="80">
        <f t="shared" si="506"/>
        <v>844</v>
      </c>
      <c r="N314" s="80">
        <f t="shared" si="507"/>
        <v>942</v>
      </c>
      <c r="O314" s="80">
        <f t="shared" si="508"/>
        <v>1040</v>
      </c>
      <c r="P314" s="81"/>
      <c r="Q314" s="81"/>
      <c r="R314" s="81"/>
      <c r="S314" s="81"/>
      <c r="T314" s="81"/>
      <c r="U314" s="81"/>
      <c r="V314" s="81"/>
      <c r="W314" s="81"/>
      <c r="X314" s="81"/>
      <c r="Y314" s="81"/>
      <c r="Z314" s="81"/>
      <c r="AA314" s="81"/>
      <c r="AB314" s="81"/>
      <c r="AC314" s="81"/>
      <c r="AD314" s="81"/>
      <c r="AE314" s="81"/>
      <c r="AF314" s="81"/>
    </row>
    <row r="315" spans="1:32">
      <c r="A315" s="82" t="s">
        <v>1049</v>
      </c>
      <c r="B315" s="84">
        <f>'MTSP 50% Income Limits '!B19</f>
        <v>25300</v>
      </c>
      <c r="C315" s="84">
        <f>'MTSP 50% Income Limits '!C19</f>
        <v>28900</v>
      </c>
      <c r="D315" s="84">
        <f>'MTSP 50% Income Limits '!D19</f>
        <v>32500</v>
      </c>
      <c r="E315" s="84">
        <f>'MTSP 50% Income Limits '!E19</f>
        <v>36100</v>
      </c>
      <c r="F315" s="84">
        <f>'MTSP 50% Income Limits '!F19</f>
        <v>39000</v>
      </c>
      <c r="G315" s="84">
        <f>'MTSP 50% Income Limits '!G19</f>
        <v>41900</v>
      </c>
      <c r="H315" s="84">
        <f>'MTSP 50% Income Limits '!H19</f>
        <v>44800</v>
      </c>
      <c r="I315" s="84">
        <f>'MTSP 50% Income Limits '!I19</f>
        <v>47700</v>
      </c>
      <c r="J315" s="83">
        <f>TRUNC(B315/12*0.3)</f>
        <v>632</v>
      </c>
      <c r="K315" s="83">
        <f>TRUNC((B315+C315)/2/12*0.3)</f>
        <v>677</v>
      </c>
      <c r="L315" s="83">
        <f>TRUNC((D315)/12*0.3)</f>
        <v>812</v>
      </c>
      <c r="M315" s="83">
        <f>TRUNC(((E315+F315)/2)/12*0.3)</f>
        <v>938</v>
      </c>
      <c r="N315" s="83">
        <f>TRUNC(G315/12*0.3)</f>
        <v>1047</v>
      </c>
      <c r="O315" s="83">
        <f>TRUNC(((H315+I315)/2)/12*0.3)</f>
        <v>1156</v>
      </c>
      <c r="P315" s="81"/>
      <c r="Q315" s="81"/>
      <c r="R315" s="81"/>
      <c r="S315" s="81"/>
      <c r="T315" s="81"/>
      <c r="U315" s="81"/>
      <c r="V315" s="81"/>
      <c r="W315" s="81"/>
      <c r="X315" s="81"/>
      <c r="Y315" s="81"/>
      <c r="Z315" s="81"/>
      <c r="AA315" s="81"/>
      <c r="AB315" s="81"/>
      <c r="AC315" s="81"/>
      <c r="AD315" s="81"/>
      <c r="AE315" s="81"/>
      <c r="AF315" s="81"/>
    </row>
    <row r="316" spans="1:32">
      <c r="A316" s="76" t="s">
        <v>1050</v>
      </c>
      <c r="B316" s="79">
        <f>B315*2*0.55</f>
        <v>27830.000000000004</v>
      </c>
      <c r="C316" s="79">
        <f t="shared" ref="C316:I316" si="517">C315*2*0.55</f>
        <v>31790.000000000004</v>
      </c>
      <c r="D316" s="79">
        <f t="shared" si="517"/>
        <v>35750</v>
      </c>
      <c r="E316" s="79">
        <f t="shared" si="517"/>
        <v>39710</v>
      </c>
      <c r="F316" s="79">
        <f t="shared" si="517"/>
        <v>42900</v>
      </c>
      <c r="G316" s="79">
        <f t="shared" si="517"/>
        <v>46090.000000000007</v>
      </c>
      <c r="H316" s="79">
        <f t="shared" si="517"/>
        <v>49280.000000000007</v>
      </c>
      <c r="I316" s="79">
        <f t="shared" si="517"/>
        <v>52470.000000000007</v>
      </c>
      <c r="J316" s="80">
        <f t="shared" ref="J316:J322" si="518">TRUNC(B316/12*0.3)</f>
        <v>695</v>
      </c>
      <c r="K316" s="80">
        <f t="shared" ref="K316:K322" si="519">TRUNC((B316+C316)/2/12*0.3)</f>
        <v>745</v>
      </c>
      <c r="L316" s="80">
        <f t="shared" ref="L316:L322" si="520">TRUNC((D316)/12*0.3)</f>
        <v>893</v>
      </c>
      <c r="M316" s="80">
        <f t="shared" ref="M316:M322" si="521">TRUNC(((E316+F316)/2)/12*0.3)</f>
        <v>1032</v>
      </c>
      <c r="N316" s="80">
        <f t="shared" ref="N316:N322" si="522">TRUNC(G316/12*0.3)</f>
        <v>1152</v>
      </c>
      <c r="O316" s="80">
        <f t="shared" ref="O316:O322" si="523">TRUNC(((H316+I316)/2)/12*0.3)</f>
        <v>1271</v>
      </c>
      <c r="P316" s="81"/>
      <c r="Q316" s="81"/>
      <c r="R316" s="81"/>
      <c r="S316" s="81"/>
      <c r="T316" s="81"/>
      <c r="U316" s="81"/>
      <c r="V316" s="81"/>
      <c r="W316" s="81"/>
      <c r="X316" s="81"/>
      <c r="Y316" s="81"/>
      <c r="Z316" s="81"/>
      <c r="AA316" s="81"/>
      <c r="AB316" s="81"/>
      <c r="AC316" s="81"/>
      <c r="AD316" s="81"/>
      <c r="AE316" s="81"/>
      <c r="AF316" s="81"/>
    </row>
    <row r="317" spans="1:32">
      <c r="A317" s="76" t="s">
        <v>1051</v>
      </c>
      <c r="B317" s="79">
        <f>B315*2*0.6</f>
        <v>30360</v>
      </c>
      <c r="C317" s="79">
        <f t="shared" ref="C317:I317" si="524">C315*2*0.6</f>
        <v>34680</v>
      </c>
      <c r="D317" s="79">
        <f t="shared" si="524"/>
        <v>39000</v>
      </c>
      <c r="E317" s="79">
        <f t="shared" si="524"/>
        <v>43320</v>
      </c>
      <c r="F317" s="79">
        <f t="shared" si="524"/>
        <v>46800</v>
      </c>
      <c r="G317" s="79">
        <f t="shared" si="524"/>
        <v>50280</v>
      </c>
      <c r="H317" s="79">
        <f t="shared" si="524"/>
        <v>53760</v>
      </c>
      <c r="I317" s="79">
        <f t="shared" si="524"/>
        <v>57240</v>
      </c>
      <c r="J317" s="80">
        <f t="shared" si="518"/>
        <v>759</v>
      </c>
      <c r="K317" s="80">
        <f t="shared" si="519"/>
        <v>813</v>
      </c>
      <c r="L317" s="80">
        <f t="shared" si="520"/>
        <v>975</v>
      </c>
      <c r="M317" s="80">
        <f t="shared" si="521"/>
        <v>1126</v>
      </c>
      <c r="N317" s="80">
        <f t="shared" si="522"/>
        <v>1257</v>
      </c>
      <c r="O317" s="80">
        <f t="shared" si="523"/>
        <v>1387</v>
      </c>
      <c r="P317" s="81"/>
      <c r="Q317" s="81"/>
      <c r="R317" s="81"/>
      <c r="S317" s="81"/>
      <c r="T317" s="81"/>
      <c r="U317" s="81"/>
      <c r="V317" s="81"/>
      <c r="W317" s="81"/>
      <c r="X317" s="81"/>
      <c r="Y317" s="81"/>
      <c r="Z317" s="81"/>
      <c r="AA317" s="81"/>
      <c r="AB317" s="81"/>
      <c r="AC317" s="81"/>
      <c r="AD317" s="81"/>
      <c r="AE317" s="81"/>
      <c r="AF317" s="81"/>
    </row>
    <row r="318" spans="1:32">
      <c r="A318" s="76" t="s">
        <v>1052</v>
      </c>
      <c r="B318" s="79">
        <f>B315*2*0.65</f>
        <v>32890</v>
      </c>
      <c r="C318" s="79">
        <f t="shared" ref="C318:I318" si="525">C315*2*0.65</f>
        <v>37570</v>
      </c>
      <c r="D318" s="79">
        <f t="shared" si="525"/>
        <v>42250</v>
      </c>
      <c r="E318" s="79">
        <f t="shared" si="525"/>
        <v>46930</v>
      </c>
      <c r="F318" s="79">
        <f t="shared" si="525"/>
        <v>50700</v>
      </c>
      <c r="G318" s="79">
        <f t="shared" si="525"/>
        <v>54470</v>
      </c>
      <c r="H318" s="79">
        <f t="shared" si="525"/>
        <v>58240</v>
      </c>
      <c r="I318" s="79">
        <f t="shared" si="525"/>
        <v>62010</v>
      </c>
      <c r="J318" s="80">
        <f t="shared" si="518"/>
        <v>822</v>
      </c>
      <c r="K318" s="80">
        <f t="shared" si="519"/>
        <v>880</v>
      </c>
      <c r="L318" s="80">
        <f t="shared" si="520"/>
        <v>1056</v>
      </c>
      <c r="M318" s="80">
        <f t="shared" si="521"/>
        <v>1220</v>
      </c>
      <c r="N318" s="80">
        <f t="shared" si="522"/>
        <v>1361</v>
      </c>
      <c r="O318" s="80">
        <f t="shared" si="523"/>
        <v>1503</v>
      </c>
      <c r="P318" s="81"/>
      <c r="Q318" s="81"/>
      <c r="R318" s="81"/>
      <c r="S318" s="81"/>
      <c r="T318" s="81"/>
      <c r="U318" s="81"/>
      <c r="V318" s="81"/>
      <c r="W318" s="81"/>
      <c r="X318" s="81"/>
      <c r="Y318" s="81"/>
      <c r="Z318" s="81"/>
      <c r="AA318" s="81"/>
      <c r="AB318" s="81"/>
      <c r="AC318" s="81"/>
      <c r="AD318" s="81"/>
      <c r="AE318" s="81"/>
      <c r="AF318" s="81"/>
    </row>
    <row r="319" spans="1:32">
      <c r="A319" s="76" t="s">
        <v>1053</v>
      </c>
      <c r="B319" s="79">
        <f>B315*2*0.7</f>
        <v>35420</v>
      </c>
      <c r="C319" s="79">
        <f t="shared" ref="C319:I319" si="526">C315*2*0.7</f>
        <v>40460</v>
      </c>
      <c r="D319" s="79">
        <f t="shared" si="526"/>
        <v>45500</v>
      </c>
      <c r="E319" s="79">
        <f t="shared" si="526"/>
        <v>50540</v>
      </c>
      <c r="F319" s="79">
        <f t="shared" si="526"/>
        <v>54600</v>
      </c>
      <c r="G319" s="79">
        <f t="shared" si="526"/>
        <v>58659.999999999993</v>
      </c>
      <c r="H319" s="79">
        <f t="shared" si="526"/>
        <v>62719.999999999993</v>
      </c>
      <c r="I319" s="79">
        <f t="shared" si="526"/>
        <v>66780</v>
      </c>
      <c r="J319" s="80">
        <f t="shared" si="518"/>
        <v>885</v>
      </c>
      <c r="K319" s="80">
        <f t="shared" si="519"/>
        <v>948</v>
      </c>
      <c r="L319" s="80">
        <f t="shared" si="520"/>
        <v>1137</v>
      </c>
      <c r="M319" s="80">
        <f t="shared" si="521"/>
        <v>1314</v>
      </c>
      <c r="N319" s="80">
        <f t="shared" si="522"/>
        <v>1466</v>
      </c>
      <c r="O319" s="80">
        <f t="shared" si="523"/>
        <v>1618</v>
      </c>
      <c r="P319" s="81"/>
      <c r="Q319" s="81"/>
      <c r="R319" s="81"/>
      <c r="S319" s="81"/>
      <c r="T319" s="81"/>
      <c r="U319" s="81"/>
      <c r="V319" s="81"/>
      <c r="W319" s="81"/>
      <c r="X319" s="81"/>
      <c r="Y319" s="81"/>
      <c r="Z319" s="81"/>
      <c r="AA319" s="81"/>
      <c r="AB319" s="81"/>
      <c r="AC319" s="81"/>
      <c r="AD319" s="81"/>
      <c r="AE319" s="81"/>
      <c r="AF319" s="81"/>
    </row>
    <row r="320" spans="1:32">
      <c r="A320" s="76" t="s">
        <v>1054</v>
      </c>
      <c r="B320" s="79">
        <f>B315*2*0.75</f>
        <v>37950</v>
      </c>
      <c r="C320" s="79">
        <f t="shared" ref="C320:I320" si="527">C315*2*0.75</f>
        <v>43350</v>
      </c>
      <c r="D320" s="79">
        <f t="shared" si="527"/>
        <v>48750</v>
      </c>
      <c r="E320" s="79">
        <f t="shared" si="527"/>
        <v>54150</v>
      </c>
      <c r="F320" s="79">
        <f t="shared" si="527"/>
        <v>58500</v>
      </c>
      <c r="G320" s="79">
        <f t="shared" si="527"/>
        <v>62850</v>
      </c>
      <c r="H320" s="79">
        <f t="shared" si="527"/>
        <v>67200</v>
      </c>
      <c r="I320" s="79">
        <f t="shared" si="527"/>
        <v>71550</v>
      </c>
      <c r="J320" s="80">
        <f t="shared" si="518"/>
        <v>948</v>
      </c>
      <c r="K320" s="80">
        <f t="shared" si="519"/>
        <v>1016</v>
      </c>
      <c r="L320" s="80">
        <f t="shared" si="520"/>
        <v>1218</v>
      </c>
      <c r="M320" s="80">
        <f t="shared" si="521"/>
        <v>1408</v>
      </c>
      <c r="N320" s="80">
        <f t="shared" si="522"/>
        <v>1571</v>
      </c>
      <c r="O320" s="80">
        <f t="shared" si="523"/>
        <v>1734</v>
      </c>
      <c r="P320" s="81"/>
      <c r="Q320" s="81"/>
      <c r="R320" s="81"/>
      <c r="S320" s="81"/>
      <c r="T320" s="81"/>
      <c r="U320" s="81"/>
      <c r="V320" s="81"/>
      <c r="W320" s="81"/>
      <c r="X320" s="81"/>
      <c r="Y320" s="81"/>
      <c r="Z320" s="81"/>
      <c r="AA320" s="81"/>
      <c r="AB320" s="81"/>
      <c r="AC320" s="81"/>
      <c r="AD320" s="81"/>
      <c r="AE320" s="81"/>
      <c r="AF320" s="81"/>
    </row>
    <row r="321" spans="1:32">
      <c r="A321" s="76" t="s">
        <v>1055</v>
      </c>
      <c r="B321" s="79">
        <f>B315*2*0.8</f>
        <v>40480</v>
      </c>
      <c r="C321" s="79">
        <f t="shared" ref="C321:I321" si="528">C315*2*0.8</f>
        <v>46240</v>
      </c>
      <c r="D321" s="79">
        <f t="shared" si="528"/>
        <v>52000</v>
      </c>
      <c r="E321" s="79">
        <f t="shared" si="528"/>
        <v>57760</v>
      </c>
      <c r="F321" s="79">
        <f t="shared" si="528"/>
        <v>62400</v>
      </c>
      <c r="G321" s="79">
        <f t="shared" si="528"/>
        <v>67040</v>
      </c>
      <c r="H321" s="79">
        <f t="shared" si="528"/>
        <v>71680</v>
      </c>
      <c r="I321" s="79">
        <f t="shared" si="528"/>
        <v>76320</v>
      </c>
      <c r="J321" s="80">
        <f t="shared" si="518"/>
        <v>1012</v>
      </c>
      <c r="K321" s="80">
        <f t="shared" si="519"/>
        <v>1084</v>
      </c>
      <c r="L321" s="80">
        <f t="shared" si="520"/>
        <v>1300</v>
      </c>
      <c r="M321" s="80">
        <f t="shared" si="521"/>
        <v>1502</v>
      </c>
      <c r="N321" s="80">
        <f t="shared" si="522"/>
        <v>1676</v>
      </c>
      <c r="O321" s="80">
        <f t="shared" si="523"/>
        <v>1850</v>
      </c>
      <c r="P321" s="81"/>
      <c r="Q321" s="81"/>
      <c r="R321" s="81"/>
      <c r="S321" s="81"/>
      <c r="T321" s="81"/>
      <c r="U321" s="81"/>
      <c r="V321" s="81"/>
      <c r="W321" s="81"/>
      <c r="X321" s="81"/>
      <c r="Y321" s="81"/>
      <c r="Z321" s="81"/>
      <c r="AA321" s="81"/>
      <c r="AB321" s="81"/>
      <c r="AC321" s="81"/>
      <c r="AD321" s="81"/>
      <c r="AE321" s="81"/>
      <c r="AF321" s="81"/>
    </row>
    <row r="322" spans="1:32">
      <c r="A322" s="76" t="s">
        <v>1056</v>
      </c>
      <c r="B322" s="79">
        <f>B315*2*0.9</f>
        <v>45540</v>
      </c>
      <c r="C322" s="79">
        <f t="shared" ref="C322:I322" si="529">C315*2*0.9</f>
        <v>52020</v>
      </c>
      <c r="D322" s="79">
        <f t="shared" si="529"/>
        <v>58500</v>
      </c>
      <c r="E322" s="79">
        <f t="shared" si="529"/>
        <v>64980</v>
      </c>
      <c r="F322" s="79">
        <f t="shared" si="529"/>
        <v>70200</v>
      </c>
      <c r="G322" s="79">
        <f t="shared" si="529"/>
        <v>75420</v>
      </c>
      <c r="H322" s="79">
        <f t="shared" si="529"/>
        <v>80640</v>
      </c>
      <c r="I322" s="79">
        <f t="shared" si="529"/>
        <v>85860</v>
      </c>
      <c r="J322" s="80">
        <f t="shared" si="518"/>
        <v>1138</v>
      </c>
      <c r="K322" s="80">
        <f t="shared" si="519"/>
        <v>1219</v>
      </c>
      <c r="L322" s="80">
        <f t="shared" si="520"/>
        <v>1462</v>
      </c>
      <c r="M322" s="80">
        <f t="shared" si="521"/>
        <v>1689</v>
      </c>
      <c r="N322" s="80">
        <f t="shared" si="522"/>
        <v>1885</v>
      </c>
      <c r="O322" s="80">
        <f t="shared" si="523"/>
        <v>2081</v>
      </c>
      <c r="P322" s="81"/>
      <c r="Q322" s="81"/>
      <c r="R322" s="81"/>
      <c r="S322" s="81"/>
      <c r="T322" s="81"/>
      <c r="U322" s="81"/>
      <c r="V322" s="81"/>
      <c r="W322" s="81"/>
      <c r="X322" s="81"/>
      <c r="Y322" s="81"/>
      <c r="Z322" s="81"/>
      <c r="AA322" s="81"/>
      <c r="AB322" s="81"/>
      <c r="AC322" s="81"/>
      <c r="AD322" s="81"/>
      <c r="AE322" s="81"/>
      <c r="AF322" s="81"/>
    </row>
    <row r="323" spans="1:32">
      <c r="A323" s="76" t="s">
        <v>1057</v>
      </c>
      <c r="B323" s="79">
        <f>B315*2</f>
        <v>50600</v>
      </c>
      <c r="C323" s="79">
        <f t="shared" ref="C323:I323" si="530">C315*2</f>
        <v>57800</v>
      </c>
      <c r="D323" s="79">
        <f t="shared" si="530"/>
        <v>65000</v>
      </c>
      <c r="E323" s="79">
        <f t="shared" si="530"/>
        <v>72200</v>
      </c>
      <c r="F323" s="79">
        <f t="shared" si="530"/>
        <v>78000</v>
      </c>
      <c r="G323" s="79">
        <f t="shared" si="530"/>
        <v>83800</v>
      </c>
      <c r="H323" s="79">
        <f t="shared" si="530"/>
        <v>89600</v>
      </c>
      <c r="I323" s="79">
        <f t="shared" si="530"/>
        <v>95400</v>
      </c>
      <c r="J323" s="80">
        <f>J315*2</f>
        <v>1264</v>
      </c>
      <c r="K323" s="80">
        <f t="shared" ref="K323:O323" si="531">K315*2</f>
        <v>1354</v>
      </c>
      <c r="L323" s="80">
        <f t="shared" si="531"/>
        <v>1624</v>
      </c>
      <c r="M323" s="80">
        <f t="shared" si="531"/>
        <v>1876</v>
      </c>
      <c r="N323" s="80">
        <f t="shared" si="531"/>
        <v>2094</v>
      </c>
      <c r="O323" s="80">
        <f t="shared" si="531"/>
        <v>2312</v>
      </c>
      <c r="P323" s="81"/>
      <c r="Q323" s="81"/>
      <c r="R323" s="81"/>
      <c r="S323" s="81"/>
      <c r="T323" s="81"/>
      <c r="U323" s="81"/>
      <c r="V323" s="81"/>
      <c r="W323" s="81"/>
      <c r="X323" s="81"/>
      <c r="Y323" s="81"/>
      <c r="Z323" s="81"/>
      <c r="AA323" s="81"/>
      <c r="AB323" s="81"/>
      <c r="AC323" s="81"/>
      <c r="AD323" s="81"/>
      <c r="AE323" s="81"/>
      <c r="AF323" s="81"/>
    </row>
    <row r="324" spans="1:32">
      <c r="A324" s="76" t="s">
        <v>1058</v>
      </c>
      <c r="B324" s="79">
        <f>B315*2*1.1</f>
        <v>55660.000000000007</v>
      </c>
      <c r="C324" s="79">
        <f t="shared" ref="C324:I324" si="532">C315*2*1.1</f>
        <v>63580.000000000007</v>
      </c>
      <c r="D324" s="79">
        <f t="shared" si="532"/>
        <v>71500</v>
      </c>
      <c r="E324" s="79">
        <f t="shared" si="532"/>
        <v>79420</v>
      </c>
      <c r="F324" s="79">
        <f t="shared" si="532"/>
        <v>85800</v>
      </c>
      <c r="G324" s="79">
        <f t="shared" si="532"/>
        <v>92180.000000000015</v>
      </c>
      <c r="H324" s="79">
        <f t="shared" si="532"/>
        <v>98560.000000000015</v>
      </c>
      <c r="I324" s="79">
        <f t="shared" si="532"/>
        <v>104940.00000000001</v>
      </c>
      <c r="J324" s="80">
        <f t="shared" ref="J324:J332" si="533">TRUNC(B324/12*0.3)</f>
        <v>1391</v>
      </c>
      <c r="K324" s="80">
        <f t="shared" ref="K324:K332" si="534">TRUNC((B324+C324)/2/12*0.3)</f>
        <v>1490</v>
      </c>
      <c r="L324" s="80">
        <f t="shared" ref="L324:L332" si="535">TRUNC((D324)/12*0.3)</f>
        <v>1787</v>
      </c>
      <c r="M324" s="80">
        <f t="shared" ref="M324:M332" si="536">TRUNC(((E324+F324)/2)/12*0.3)</f>
        <v>2065</v>
      </c>
      <c r="N324" s="80">
        <f t="shared" ref="N324:N332" si="537">TRUNC(G324/12*0.3)</f>
        <v>2304</v>
      </c>
      <c r="O324" s="80">
        <f t="shared" ref="O324:O332" si="538">TRUNC(((H324+I324)/2)/12*0.3)</f>
        <v>2543</v>
      </c>
      <c r="P324" s="81"/>
      <c r="Q324" s="81"/>
      <c r="R324" s="81"/>
      <c r="S324" s="81"/>
      <c r="T324" s="81"/>
      <c r="U324" s="81"/>
      <c r="V324" s="81"/>
      <c r="W324" s="81"/>
      <c r="X324" s="81"/>
      <c r="Y324" s="81"/>
      <c r="Z324" s="81"/>
      <c r="AA324" s="81"/>
      <c r="AB324" s="81"/>
      <c r="AC324" s="81"/>
      <c r="AD324" s="81"/>
      <c r="AE324" s="81"/>
      <c r="AF324" s="81"/>
    </row>
    <row r="325" spans="1:32">
      <c r="A325" s="76" t="s">
        <v>1059</v>
      </c>
      <c r="B325" s="79">
        <f>B315*2*1.2</f>
        <v>60720</v>
      </c>
      <c r="C325" s="79">
        <f t="shared" ref="C325:I325" si="539">C315*2*1.2</f>
        <v>69360</v>
      </c>
      <c r="D325" s="79">
        <f t="shared" si="539"/>
        <v>78000</v>
      </c>
      <c r="E325" s="79">
        <f t="shared" si="539"/>
        <v>86640</v>
      </c>
      <c r="F325" s="79">
        <f t="shared" si="539"/>
        <v>93600</v>
      </c>
      <c r="G325" s="79">
        <f t="shared" si="539"/>
        <v>100560</v>
      </c>
      <c r="H325" s="79">
        <f t="shared" si="539"/>
        <v>107520</v>
      </c>
      <c r="I325" s="79">
        <f t="shared" si="539"/>
        <v>114480</v>
      </c>
      <c r="J325" s="80">
        <f t="shared" si="533"/>
        <v>1518</v>
      </c>
      <c r="K325" s="80">
        <f t="shared" si="534"/>
        <v>1626</v>
      </c>
      <c r="L325" s="80">
        <f t="shared" si="535"/>
        <v>1950</v>
      </c>
      <c r="M325" s="80">
        <f t="shared" si="536"/>
        <v>2253</v>
      </c>
      <c r="N325" s="80">
        <f t="shared" si="537"/>
        <v>2514</v>
      </c>
      <c r="O325" s="80">
        <f t="shared" si="538"/>
        <v>2775</v>
      </c>
      <c r="P325" s="81"/>
      <c r="Q325" s="81"/>
      <c r="R325" s="81"/>
      <c r="S325" s="81"/>
      <c r="T325" s="81"/>
      <c r="U325" s="81"/>
      <c r="V325" s="81"/>
      <c r="W325" s="81"/>
      <c r="X325" s="81"/>
      <c r="Y325" s="81"/>
      <c r="Z325" s="81"/>
      <c r="AA325" s="81"/>
      <c r="AB325" s="81"/>
      <c r="AC325" s="81"/>
      <c r="AD325" s="81"/>
      <c r="AE325" s="81"/>
      <c r="AF325" s="81"/>
    </row>
    <row r="326" spans="1:32">
      <c r="A326" s="76" t="s">
        <v>1060</v>
      </c>
      <c r="B326" s="79">
        <f>B333*2*0.15</f>
        <v>12420</v>
      </c>
      <c r="C326" s="79">
        <f>C333*2*0.15</f>
        <v>14190</v>
      </c>
      <c r="D326" s="79">
        <f>D333*2*0.15</f>
        <v>15960</v>
      </c>
      <c r="E326" s="79">
        <f>E333*2*0.15</f>
        <v>17730</v>
      </c>
      <c r="F326" s="79">
        <f>F333*2*0.15</f>
        <v>19155</v>
      </c>
      <c r="G326" s="79">
        <f t="shared" ref="G326:I326" si="540">G333*2*0.15</f>
        <v>20580</v>
      </c>
      <c r="H326" s="79">
        <f t="shared" si="540"/>
        <v>21990</v>
      </c>
      <c r="I326" s="79">
        <f t="shared" si="540"/>
        <v>23415</v>
      </c>
      <c r="J326" s="80">
        <f t="shared" si="533"/>
        <v>310</v>
      </c>
      <c r="K326" s="80">
        <f t="shared" si="534"/>
        <v>332</v>
      </c>
      <c r="L326" s="80">
        <f t="shared" si="535"/>
        <v>399</v>
      </c>
      <c r="M326" s="80">
        <f t="shared" si="536"/>
        <v>461</v>
      </c>
      <c r="N326" s="80">
        <f t="shared" si="537"/>
        <v>514</v>
      </c>
      <c r="O326" s="80">
        <f t="shared" si="538"/>
        <v>567</v>
      </c>
      <c r="P326" s="81"/>
      <c r="Q326" s="81"/>
      <c r="R326" s="81"/>
      <c r="S326" s="81"/>
      <c r="T326" s="81"/>
      <c r="U326" s="81"/>
      <c r="V326" s="81"/>
      <c r="W326" s="81"/>
      <c r="X326" s="81"/>
      <c r="Y326" s="81"/>
      <c r="Z326" s="81"/>
      <c r="AA326" s="81"/>
      <c r="AB326" s="81"/>
      <c r="AC326" s="81"/>
      <c r="AD326" s="81"/>
      <c r="AE326" s="81"/>
      <c r="AF326" s="81"/>
    </row>
    <row r="327" spans="1:32">
      <c r="A327" s="76" t="s">
        <v>1061</v>
      </c>
      <c r="B327" s="79">
        <f>B333*2*0.2</f>
        <v>16560</v>
      </c>
      <c r="C327" s="79">
        <f t="shared" ref="C327:I327" si="541">C333*2*0.2</f>
        <v>18920</v>
      </c>
      <c r="D327" s="79">
        <f t="shared" si="541"/>
        <v>21280</v>
      </c>
      <c r="E327" s="79">
        <f t="shared" si="541"/>
        <v>23640</v>
      </c>
      <c r="F327" s="79">
        <f t="shared" si="541"/>
        <v>25540</v>
      </c>
      <c r="G327" s="79">
        <f t="shared" si="541"/>
        <v>27440</v>
      </c>
      <c r="H327" s="79">
        <f t="shared" si="541"/>
        <v>29320</v>
      </c>
      <c r="I327" s="79">
        <f t="shared" si="541"/>
        <v>31220</v>
      </c>
      <c r="J327" s="80">
        <f t="shared" si="533"/>
        <v>414</v>
      </c>
      <c r="K327" s="80">
        <f t="shared" si="534"/>
        <v>443</v>
      </c>
      <c r="L327" s="80">
        <f t="shared" si="535"/>
        <v>532</v>
      </c>
      <c r="M327" s="80">
        <f t="shared" si="536"/>
        <v>614</v>
      </c>
      <c r="N327" s="80">
        <f t="shared" si="537"/>
        <v>686</v>
      </c>
      <c r="O327" s="80">
        <f t="shared" si="538"/>
        <v>756</v>
      </c>
      <c r="P327" s="81"/>
      <c r="Q327" s="81"/>
      <c r="R327" s="81"/>
      <c r="S327" s="81"/>
      <c r="T327" s="81"/>
      <c r="U327" s="81"/>
      <c r="V327" s="81"/>
      <c r="W327" s="81"/>
      <c r="X327" s="81"/>
      <c r="Y327" s="81"/>
      <c r="Z327" s="81"/>
      <c r="AA327" s="81"/>
      <c r="AB327" s="81"/>
      <c r="AC327" s="81"/>
      <c r="AD327" s="81"/>
      <c r="AE327" s="81"/>
      <c r="AF327" s="81"/>
    </row>
    <row r="328" spans="1:32">
      <c r="A328" s="76" t="s">
        <v>1062</v>
      </c>
      <c r="B328" s="79">
        <f>B333*2*0.25</f>
        <v>20700</v>
      </c>
      <c r="C328" s="79">
        <f t="shared" ref="C328:I328" si="542">C333*2*0.25</f>
        <v>23650</v>
      </c>
      <c r="D328" s="79">
        <f t="shared" si="542"/>
        <v>26600</v>
      </c>
      <c r="E328" s="79">
        <f t="shared" si="542"/>
        <v>29550</v>
      </c>
      <c r="F328" s="79">
        <f t="shared" si="542"/>
        <v>31925</v>
      </c>
      <c r="G328" s="79">
        <f t="shared" si="542"/>
        <v>34300</v>
      </c>
      <c r="H328" s="79">
        <f t="shared" si="542"/>
        <v>36650</v>
      </c>
      <c r="I328" s="79">
        <f t="shared" si="542"/>
        <v>39025</v>
      </c>
      <c r="J328" s="80">
        <f t="shared" si="533"/>
        <v>517</v>
      </c>
      <c r="K328" s="80">
        <f t="shared" si="534"/>
        <v>554</v>
      </c>
      <c r="L328" s="80">
        <f t="shared" si="535"/>
        <v>665</v>
      </c>
      <c r="M328" s="80">
        <f t="shared" si="536"/>
        <v>768</v>
      </c>
      <c r="N328" s="80">
        <f t="shared" si="537"/>
        <v>857</v>
      </c>
      <c r="O328" s="80">
        <f t="shared" si="538"/>
        <v>945</v>
      </c>
      <c r="P328" s="81"/>
      <c r="Q328" s="81"/>
      <c r="R328" s="81"/>
      <c r="S328" s="81"/>
      <c r="T328" s="81"/>
      <c r="U328" s="81"/>
      <c r="V328" s="81"/>
      <c r="W328" s="81"/>
      <c r="X328" s="81"/>
      <c r="Y328" s="81"/>
      <c r="Z328" s="81"/>
      <c r="AA328" s="81"/>
      <c r="AB328" s="81"/>
      <c r="AC328" s="81"/>
      <c r="AD328" s="81"/>
      <c r="AE328" s="81"/>
      <c r="AF328" s="81"/>
    </row>
    <row r="329" spans="1:32">
      <c r="A329" s="76" t="s">
        <v>1063</v>
      </c>
      <c r="B329" s="79">
        <f>B333*2*0.3</f>
        <v>24840</v>
      </c>
      <c r="C329" s="79">
        <f t="shared" ref="C329:I329" si="543">C333*2*0.3</f>
        <v>28380</v>
      </c>
      <c r="D329" s="79">
        <f t="shared" si="543"/>
        <v>31920</v>
      </c>
      <c r="E329" s="79">
        <f t="shared" si="543"/>
        <v>35460</v>
      </c>
      <c r="F329" s="79">
        <f t="shared" si="543"/>
        <v>38310</v>
      </c>
      <c r="G329" s="79">
        <f t="shared" si="543"/>
        <v>41160</v>
      </c>
      <c r="H329" s="79">
        <f t="shared" si="543"/>
        <v>43980</v>
      </c>
      <c r="I329" s="79">
        <f t="shared" si="543"/>
        <v>46830</v>
      </c>
      <c r="J329" s="80">
        <f t="shared" si="533"/>
        <v>621</v>
      </c>
      <c r="K329" s="80">
        <f t="shared" si="534"/>
        <v>665</v>
      </c>
      <c r="L329" s="80">
        <f t="shared" si="535"/>
        <v>798</v>
      </c>
      <c r="M329" s="80">
        <f t="shared" si="536"/>
        <v>922</v>
      </c>
      <c r="N329" s="80">
        <f t="shared" si="537"/>
        <v>1029</v>
      </c>
      <c r="O329" s="80">
        <f t="shared" si="538"/>
        <v>1135</v>
      </c>
      <c r="P329" s="81"/>
      <c r="Q329" s="81"/>
      <c r="R329" s="81"/>
      <c r="S329" s="81"/>
      <c r="T329" s="81"/>
      <c r="U329" s="81"/>
      <c r="V329" s="81"/>
      <c r="W329" s="81"/>
      <c r="X329" s="81"/>
      <c r="Y329" s="81"/>
      <c r="Z329" s="81"/>
      <c r="AA329" s="81"/>
      <c r="AB329" s="81"/>
      <c r="AC329" s="81"/>
      <c r="AD329" s="81"/>
      <c r="AE329" s="81"/>
      <c r="AF329" s="81"/>
    </row>
    <row r="330" spans="1:32">
      <c r="A330" s="76" t="s">
        <v>1064</v>
      </c>
      <c r="B330" s="79">
        <f>B333*2*0.35</f>
        <v>28979.999999999996</v>
      </c>
      <c r="C330" s="79">
        <f t="shared" ref="C330:I330" si="544">C333*2*0.35</f>
        <v>33110</v>
      </c>
      <c r="D330" s="79">
        <f t="shared" si="544"/>
        <v>37240</v>
      </c>
      <c r="E330" s="79">
        <f t="shared" si="544"/>
        <v>41370</v>
      </c>
      <c r="F330" s="79">
        <f t="shared" si="544"/>
        <v>44695</v>
      </c>
      <c r="G330" s="79">
        <f t="shared" si="544"/>
        <v>48020</v>
      </c>
      <c r="H330" s="79">
        <f t="shared" si="544"/>
        <v>51310</v>
      </c>
      <c r="I330" s="79">
        <f t="shared" si="544"/>
        <v>54635</v>
      </c>
      <c r="J330" s="80">
        <f t="shared" si="533"/>
        <v>724</v>
      </c>
      <c r="K330" s="80">
        <f t="shared" si="534"/>
        <v>776</v>
      </c>
      <c r="L330" s="80">
        <f t="shared" si="535"/>
        <v>931</v>
      </c>
      <c r="M330" s="80">
        <f t="shared" si="536"/>
        <v>1075</v>
      </c>
      <c r="N330" s="80">
        <f t="shared" si="537"/>
        <v>1200</v>
      </c>
      <c r="O330" s="80">
        <f t="shared" si="538"/>
        <v>1324</v>
      </c>
      <c r="P330" s="81"/>
      <c r="Q330" s="81"/>
      <c r="R330" s="81"/>
      <c r="S330" s="81"/>
      <c r="T330" s="81"/>
      <c r="U330" s="81"/>
      <c r="V330" s="81"/>
      <c r="W330" s="81"/>
      <c r="X330" s="81"/>
      <c r="Y330" s="81"/>
      <c r="Z330" s="81"/>
      <c r="AA330" s="81"/>
      <c r="AB330" s="81"/>
      <c r="AC330" s="81"/>
      <c r="AD330" s="81"/>
      <c r="AE330" s="81"/>
      <c r="AF330" s="81"/>
    </row>
    <row r="331" spans="1:32">
      <c r="A331" s="76" t="s">
        <v>1065</v>
      </c>
      <c r="B331" s="79">
        <f>B333*2*0.4</f>
        <v>33120</v>
      </c>
      <c r="C331" s="79">
        <f t="shared" ref="C331:I331" si="545">C333*2*0.4</f>
        <v>37840</v>
      </c>
      <c r="D331" s="79">
        <f t="shared" si="545"/>
        <v>42560</v>
      </c>
      <c r="E331" s="79">
        <f t="shared" si="545"/>
        <v>47280</v>
      </c>
      <c r="F331" s="79">
        <f t="shared" si="545"/>
        <v>51080</v>
      </c>
      <c r="G331" s="79">
        <f t="shared" si="545"/>
        <v>54880</v>
      </c>
      <c r="H331" s="79">
        <f t="shared" si="545"/>
        <v>58640</v>
      </c>
      <c r="I331" s="79">
        <f t="shared" si="545"/>
        <v>62440</v>
      </c>
      <c r="J331" s="80">
        <f t="shared" si="533"/>
        <v>828</v>
      </c>
      <c r="K331" s="80">
        <f t="shared" si="534"/>
        <v>887</v>
      </c>
      <c r="L331" s="80">
        <f t="shared" si="535"/>
        <v>1064</v>
      </c>
      <c r="M331" s="80">
        <f t="shared" si="536"/>
        <v>1229</v>
      </c>
      <c r="N331" s="80">
        <f t="shared" si="537"/>
        <v>1372</v>
      </c>
      <c r="O331" s="80">
        <f t="shared" si="538"/>
        <v>1513</v>
      </c>
      <c r="P331" s="81"/>
      <c r="Q331" s="81"/>
      <c r="R331" s="81"/>
      <c r="S331" s="81"/>
      <c r="T331" s="81"/>
      <c r="U331" s="81"/>
      <c r="V331" s="81"/>
      <c r="W331" s="81"/>
      <c r="X331" s="81"/>
      <c r="Y331" s="81"/>
      <c r="Z331" s="81"/>
      <c r="AA331" s="81"/>
      <c r="AB331" s="81"/>
      <c r="AC331" s="81"/>
      <c r="AD331" s="81"/>
      <c r="AE331" s="81"/>
      <c r="AF331" s="81"/>
    </row>
    <row r="332" spans="1:32">
      <c r="A332" s="76" t="s">
        <v>1066</v>
      </c>
      <c r="B332" s="79">
        <f>B333*2*0.45</f>
        <v>37260</v>
      </c>
      <c r="C332" s="79">
        <f t="shared" ref="C332:I332" si="546">C333*2*0.45</f>
        <v>42570</v>
      </c>
      <c r="D332" s="79">
        <f t="shared" si="546"/>
        <v>47880</v>
      </c>
      <c r="E332" s="79">
        <f t="shared" si="546"/>
        <v>53190</v>
      </c>
      <c r="F332" s="79">
        <f t="shared" si="546"/>
        <v>57465</v>
      </c>
      <c r="G332" s="79">
        <f t="shared" si="546"/>
        <v>61740</v>
      </c>
      <c r="H332" s="79">
        <f t="shared" si="546"/>
        <v>65970</v>
      </c>
      <c r="I332" s="79">
        <f t="shared" si="546"/>
        <v>70245</v>
      </c>
      <c r="J332" s="80">
        <f t="shared" si="533"/>
        <v>931</v>
      </c>
      <c r="K332" s="80">
        <f t="shared" si="534"/>
        <v>997</v>
      </c>
      <c r="L332" s="80">
        <f t="shared" si="535"/>
        <v>1197</v>
      </c>
      <c r="M332" s="80">
        <f t="shared" si="536"/>
        <v>1383</v>
      </c>
      <c r="N332" s="80">
        <f t="shared" si="537"/>
        <v>1543</v>
      </c>
      <c r="O332" s="80">
        <f t="shared" si="538"/>
        <v>1702</v>
      </c>
      <c r="P332" s="81"/>
      <c r="Q332" s="81"/>
      <c r="R332" s="81"/>
      <c r="S332" s="81"/>
      <c r="T332" s="81"/>
      <c r="U332" s="81"/>
      <c r="V332" s="81"/>
      <c r="W332" s="81"/>
      <c r="X332" s="81"/>
      <c r="Y332" s="81"/>
      <c r="Z332" s="81"/>
      <c r="AA332" s="81"/>
      <c r="AB332" s="81"/>
      <c r="AC332" s="81"/>
      <c r="AD332" s="81"/>
      <c r="AE332" s="81"/>
      <c r="AF332" s="81"/>
    </row>
    <row r="333" spans="1:32">
      <c r="A333" s="82" t="s">
        <v>1067</v>
      </c>
      <c r="B333" s="84">
        <f>'MTSP 50% Income Limits '!B20</f>
        <v>41400</v>
      </c>
      <c r="C333" s="84">
        <f>'MTSP 50% Income Limits '!C20</f>
        <v>47300</v>
      </c>
      <c r="D333" s="84">
        <f>'MTSP 50% Income Limits '!D20</f>
        <v>53200</v>
      </c>
      <c r="E333" s="84">
        <f>'MTSP 50% Income Limits '!E20</f>
        <v>59100</v>
      </c>
      <c r="F333" s="84">
        <f>'MTSP 50% Income Limits '!F20</f>
        <v>63850</v>
      </c>
      <c r="G333" s="84">
        <f>'MTSP 50% Income Limits '!G20</f>
        <v>68600</v>
      </c>
      <c r="H333" s="84">
        <f>'MTSP 50% Income Limits '!H20</f>
        <v>73300</v>
      </c>
      <c r="I333" s="84">
        <f>'MTSP 50% Income Limits '!I20</f>
        <v>78050</v>
      </c>
      <c r="J333" s="83">
        <f>TRUNC(B333/12*0.3)</f>
        <v>1035</v>
      </c>
      <c r="K333" s="83">
        <f>TRUNC((B333+C333)/2/12*0.3)</f>
        <v>1108</v>
      </c>
      <c r="L333" s="83">
        <f>TRUNC((D333)/12*0.3)</f>
        <v>1330</v>
      </c>
      <c r="M333" s="83">
        <f>TRUNC(((E333+F333)/2)/12*0.3)</f>
        <v>1536</v>
      </c>
      <c r="N333" s="83">
        <f>TRUNC(G333/12*0.3)</f>
        <v>1715</v>
      </c>
      <c r="O333" s="83">
        <f>TRUNC(((H333+I333)/2)/12*0.3)</f>
        <v>1891</v>
      </c>
      <c r="P333" s="81"/>
      <c r="Q333" s="81"/>
      <c r="R333" s="81"/>
      <c r="S333" s="81"/>
      <c r="T333" s="81"/>
      <c r="U333" s="81"/>
      <c r="V333" s="81"/>
      <c r="W333" s="81"/>
      <c r="X333" s="81"/>
      <c r="Y333" s="81"/>
      <c r="Z333" s="81"/>
      <c r="AA333" s="81"/>
      <c r="AB333" s="81"/>
      <c r="AC333" s="81"/>
      <c r="AD333" s="81"/>
      <c r="AE333" s="81"/>
      <c r="AF333" s="81"/>
    </row>
    <row r="334" spans="1:32">
      <c r="A334" s="76" t="s">
        <v>1068</v>
      </c>
      <c r="B334" s="79">
        <f>B333*2*0.55</f>
        <v>45540.000000000007</v>
      </c>
      <c r="C334" s="79">
        <f t="shared" ref="C334:I334" si="547">C333*2*0.55</f>
        <v>52030.000000000007</v>
      </c>
      <c r="D334" s="79">
        <f t="shared" si="547"/>
        <v>58520.000000000007</v>
      </c>
      <c r="E334" s="79">
        <f t="shared" si="547"/>
        <v>65010.000000000007</v>
      </c>
      <c r="F334" s="79">
        <f t="shared" si="547"/>
        <v>70235</v>
      </c>
      <c r="G334" s="79">
        <f t="shared" si="547"/>
        <v>75460</v>
      </c>
      <c r="H334" s="79">
        <f t="shared" si="547"/>
        <v>80630</v>
      </c>
      <c r="I334" s="79">
        <f t="shared" si="547"/>
        <v>85855</v>
      </c>
      <c r="J334" s="80">
        <f t="shared" ref="J334:J340" si="548">TRUNC(B334/12*0.3)</f>
        <v>1138</v>
      </c>
      <c r="K334" s="80">
        <f t="shared" ref="K334:K340" si="549">TRUNC((B334+C334)/2/12*0.3)</f>
        <v>1219</v>
      </c>
      <c r="L334" s="80">
        <f t="shared" ref="L334:L340" si="550">TRUNC((D334)/12*0.3)</f>
        <v>1463</v>
      </c>
      <c r="M334" s="80">
        <f t="shared" ref="M334:M340" si="551">TRUNC(((E334+F334)/2)/12*0.3)</f>
        <v>1690</v>
      </c>
      <c r="N334" s="80">
        <f t="shared" ref="N334:N340" si="552">TRUNC(G334/12*0.3)</f>
        <v>1886</v>
      </c>
      <c r="O334" s="80">
        <f t="shared" ref="O334:O340" si="553">TRUNC(((H334+I334)/2)/12*0.3)</f>
        <v>2081</v>
      </c>
      <c r="P334" s="81"/>
      <c r="Q334" s="81"/>
      <c r="R334" s="81"/>
      <c r="S334" s="81"/>
      <c r="T334" s="81"/>
      <c r="U334" s="81"/>
      <c r="V334" s="81"/>
      <c r="W334" s="81"/>
      <c r="X334" s="81"/>
      <c r="Y334" s="81"/>
      <c r="Z334" s="81"/>
      <c r="AA334" s="81"/>
      <c r="AB334" s="81"/>
      <c r="AC334" s="81"/>
      <c r="AD334" s="81"/>
      <c r="AE334" s="81"/>
      <c r="AF334" s="81"/>
    </row>
    <row r="335" spans="1:32">
      <c r="A335" s="76" t="s">
        <v>1069</v>
      </c>
      <c r="B335" s="79">
        <f>B333*2*0.6</f>
        <v>49680</v>
      </c>
      <c r="C335" s="79">
        <f t="shared" ref="C335:I335" si="554">C333*2*0.6</f>
        <v>56760</v>
      </c>
      <c r="D335" s="79">
        <f t="shared" si="554"/>
        <v>63840</v>
      </c>
      <c r="E335" s="79">
        <f t="shared" si="554"/>
        <v>70920</v>
      </c>
      <c r="F335" s="79">
        <f t="shared" si="554"/>
        <v>76620</v>
      </c>
      <c r="G335" s="79">
        <f t="shared" si="554"/>
        <v>82320</v>
      </c>
      <c r="H335" s="79">
        <f t="shared" si="554"/>
        <v>87960</v>
      </c>
      <c r="I335" s="79">
        <f t="shared" si="554"/>
        <v>93660</v>
      </c>
      <c r="J335" s="80">
        <f t="shared" si="548"/>
        <v>1242</v>
      </c>
      <c r="K335" s="80">
        <f t="shared" si="549"/>
        <v>1330</v>
      </c>
      <c r="L335" s="80">
        <f t="shared" si="550"/>
        <v>1596</v>
      </c>
      <c r="M335" s="80">
        <f t="shared" si="551"/>
        <v>1844</v>
      </c>
      <c r="N335" s="80">
        <f t="shared" si="552"/>
        <v>2058</v>
      </c>
      <c r="O335" s="80">
        <f t="shared" si="553"/>
        <v>2270</v>
      </c>
      <c r="P335" s="81"/>
      <c r="Q335" s="81"/>
      <c r="R335" s="81"/>
      <c r="S335" s="81"/>
      <c r="T335" s="81"/>
      <c r="U335" s="81"/>
      <c r="V335" s="81"/>
      <c r="W335" s="81"/>
      <c r="X335" s="81"/>
      <c r="Y335" s="81"/>
      <c r="Z335" s="81"/>
      <c r="AA335" s="81"/>
      <c r="AB335" s="81"/>
      <c r="AC335" s="81"/>
      <c r="AD335" s="81"/>
      <c r="AE335" s="81"/>
      <c r="AF335" s="81"/>
    </row>
    <row r="336" spans="1:32">
      <c r="A336" s="76" t="s">
        <v>1070</v>
      </c>
      <c r="B336" s="79">
        <f>B333*2*0.65</f>
        <v>53820</v>
      </c>
      <c r="C336" s="79">
        <f t="shared" ref="C336:I336" si="555">C333*2*0.65</f>
        <v>61490</v>
      </c>
      <c r="D336" s="79">
        <f t="shared" si="555"/>
        <v>69160</v>
      </c>
      <c r="E336" s="79">
        <f t="shared" si="555"/>
        <v>76830</v>
      </c>
      <c r="F336" s="79">
        <f t="shared" si="555"/>
        <v>83005</v>
      </c>
      <c r="G336" s="79">
        <f t="shared" si="555"/>
        <v>89180</v>
      </c>
      <c r="H336" s="79">
        <f t="shared" si="555"/>
        <v>95290</v>
      </c>
      <c r="I336" s="79">
        <f t="shared" si="555"/>
        <v>101465</v>
      </c>
      <c r="J336" s="80">
        <f t="shared" si="548"/>
        <v>1345</v>
      </c>
      <c r="K336" s="80">
        <f t="shared" si="549"/>
        <v>1441</v>
      </c>
      <c r="L336" s="80">
        <f t="shared" si="550"/>
        <v>1729</v>
      </c>
      <c r="M336" s="80">
        <f t="shared" si="551"/>
        <v>1997</v>
      </c>
      <c r="N336" s="80">
        <f t="shared" si="552"/>
        <v>2229</v>
      </c>
      <c r="O336" s="80">
        <f t="shared" si="553"/>
        <v>2459</v>
      </c>
      <c r="P336" s="81"/>
      <c r="Q336" s="81"/>
      <c r="R336" s="81"/>
      <c r="S336" s="81"/>
      <c r="T336" s="81"/>
      <c r="U336" s="81"/>
      <c r="V336" s="81"/>
      <c r="W336" s="81"/>
      <c r="X336" s="81"/>
      <c r="Y336" s="81"/>
      <c r="Z336" s="81"/>
      <c r="AA336" s="81"/>
      <c r="AB336" s="81"/>
      <c r="AC336" s="81"/>
      <c r="AD336" s="81"/>
      <c r="AE336" s="81"/>
      <c r="AF336" s="81"/>
    </row>
    <row r="337" spans="1:32">
      <c r="A337" s="76" t="s">
        <v>1071</v>
      </c>
      <c r="B337" s="79">
        <f>B333*2*0.7</f>
        <v>57959.999999999993</v>
      </c>
      <c r="C337" s="79">
        <f t="shared" ref="C337:I337" si="556">C333*2*0.7</f>
        <v>66220</v>
      </c>
      <c r="D337" s="79">
        <f t="shared" si="556"/>
        <v>74480</v>
      </c>
      <c r="E337" s="79">
        <f t="shared" si="556"/>
        <v>82740</v>
      </c>
      <c r="F337" s="79">
        <f t="shared" si="556"/>
        <v>89390</v>
      </c>
      <c r="G337" s="79">
        <f t="shared" si="556"/>
        <v>96040</v>
      </c>
      <c r="H337" s="79">
        <f t="shared" si="556"/>
        <v>102620</v>
      </c>
      <c r="I337" s="79">
        <f t="shared" si="556"/>
        <v>109270</v>
      </c>
      <c r="J337" s="80">
        <f t="shared" si="548"/>
        <v>1449</v>
      </c>
      <c r="K337" s="80">
        <f t="shared" si="549"/>
        <v>1552</v>
      </c>
      <c r="L337" s="80">
        <f t="shared" si="550"/>
        <v>1862</v>
      </c>
      <c r="M337" s="80">
        <f t="shared" si="551"/>
        <v>2151</v>
      </c>
      <c r="N337" s="80">
        <f t="shared" si="552"/>
        <v>2401</v>
      </c>
      <c r="O337" s="80">
        <f t="shared" si="553"/>
        <v>2648</v>
      </c>
      <c r="P337" s="81"/>
      <c r="Q337" s="81"/>
      <c r="R337" s="81"/>
      <c r="S337" s="81"/>
      <c r="T337" s="81"/>
      <c r="U337" s="81"/>
      <c r="V337" s="81"/>
      <c r="W337" s="81"/>
      <c r="X337" s="81"/>
      <c r="Y337" s="81"/>
      <c r="Z337" s="81"/>
      <c r="AA337" s="81"/>
      <c r="AB337" s="81"/>
      <c r="AC337" s="81"/>
      <c r="AD337" s="81"/>
      <c r="AE337" s="81"/>
      <c r="AF337" s="81"/>
    </row>
    <row r="338" spans="1:32">
      <c r="A338" s="76" t="s">
        <v>1072</v>
      </c>
      <c r="B338" s="79">
        <f>B333*2*0.75</f>
        <v>62100</v>
      </c>
      <c r="C338" s="79">
        <f t="shared" ref="C338:I338" si="557">C333*2*0.75</f>
        <v>70950</v>
      </c>
      <c r="D338" s="79">
        <f t="shared" si="557"/>
        <v>79800</v>
      </c>
      <c r="E338" s="79">
        <f t="shared" si="557"/>
        <v>88650</v>
      </c>
      <c r="F338" s="79">
        <f t="shared" si="557"/>
        <v>95775</v>
      </c>
      <c r="G338" s="79">
        <f t="shared" si="557"/>
        <v>102900</v>
      </c>
      <c r="H338" s="79">
        <f t="shared" si="557"/>
        <v>109950</v>
      </c>
      <c r="I338" s="79">
        <f t="shared" si="557"/>
        <v>117075</v>
      </c>
      <c r="J338" s="80">
        <f t="shared" si="548"/>
        <v>1552</v>
      </c>
      <c r="K338" s="80">
        <f t="shared" si="549"/>
        <v>1663</v>
      </c>
      <c r="L338" s="80">
        <f t="shared" si="550"/>
        <v>1995</v>
      </c>
      <c r="M338" s="80">
        <f t="shared" si="551"/>
        <v>2305</v>
      </c>
      <c r="N338" s="80">
        <f t="shared" si="552"/>
        <v>2572</v>
      </c>
      <c r="O338" s="80">
        <f t="shared" si="553"/>
        <v>2837</v>
      </c>
      <c r="P338" s="81"/>
      <c r="Q338" s="81"/>
      <c r="R338" s="81"/>
      <c r="S338" s="81"/>
      <c r="T338" s="81"/>
      <c r="U338" s="81"/>
      <c r="V338" s="81"/>
      <c r="W338" s="81"/>
      <c r="X338" s="81"/>
      <c r="Y338" s="81"/>
      <c r="Z338" s="81"/>
      <c r="AA338" s="81"/>
      <c r="AB338" s="81"/>
      <c r="AC338" s="81"/>
      <c r="AD338" s="81"/>
      <c r="AE338" s="81"/>
      <c r="AF338" s="81"/>
    </row>
    <row r="339" spans="1:32">
      <c r="A339" s="76" t="s">
        <v>1073</v>
      </c>
      <c r="B339" s="79">
        <f>B333*2*0.8</f>
        <v>66240</v>
      </c>
      <c r="C339" s="79">
        <f t="shared" ref="C339:I339" si="558">C333*2*0.8</f>
        <v>75680</v>
      </c>
      <c r="D339" s="79">
        <f t="shared" si="558"/>
        <v>85120</v>
      </c>
      <c r="E339" s="79">
        <f t="shared" si="558"/>
        <v>94560</v>
      </c>
      <c r="F339" s="79">
        <f t="shared" si="558"/>
        <v>102160</v>
      </c>
      <c r="G339" s="79">
        <f t="shared" si="558"/>
        <v>109760</v>
      </c>
      <c r="H339" s="79">
        <f t="shared" si="558"/>
        <v>117280</v>
      </c>
      <c r="I339" s="79">
        <f t="shared" si="558"/>
        <v>124880</v>
      </c>
      <c r="J339" s="80">
        <f t="shared" si="548"/>
        <v>1656</v>
      </c>
      <c r="K339" s="80">
        <f t="shared" si="549"/>
        <v>1774</v>
      </c>
      <c r="L339" s="80">
        <f t="shared" si="550"/>
        <v>2128</v>
      </c>
      <c r="M339" s="80">
        <f t="shared" si="551"/>
        <v>2459</v>
      </c>
      <c r="N339" s="80">
        <f t="shared" si="552"/>
        <v>2744</v>
      </c>
      <c r="O339" s="80">
        <f t="shared" si="553"/>
        <v>3027</v>
      </c>
      <c r="P339" s="81"/>
      <c r="Q339" s="81"/>
      <c r="R339" s="81"/>
      <c r="S339" s="81"/>
      <c r="T339" s="81"/>
      <c r="U339" s="81"/>
      <c r="V339" s="81"/>
      <c r="W339" s="81"/>
      <c r="X339" s="81"/>
      <c r="Y339" s="81"/>
      <c r="Z339" s="81"/>
      <c r="AA339" s="81"/>
      <c r="AB339" s="81"/>
      <c r="AC339" s="81"/>
      <c r="AD339" s="81"/>
      <c r="AE339" s="81"/>
      <c r="AF339" s="81"/>
    </row>
    <row r="340" spans="1:32">
      <c r="A340" s="76" t="s">
        <v>1074</v>
      </c>
      <c r="B340" s="79">
        <f>B333*2*0.9</f>
        <v>74520</v>
      </c>
      <c r="C340" s="79">
        <f t="shared" ref="C340:I340" si="559">C333*2*0.9</f>
        <v>85140</v>
      </c>
      <c r="D340" s="79">
        <f t="shared" si="559"/>
        <v>95760</v>
      </c>
      <c r="E340" s="79">
        <f t="shared" si="559"/>
        <v>106380</v>
      </c>
      <c r="F340" s="79">
        <f t="shared" si="559"/>
        <v>114930</v>
      </c>
      <c r="G340" s="79">
        <f t="shared" si="559"/>
        <v>123480</v>
      </c>
      <c r="H340" s="79">
        <f t="shared" si="559"/>
        <v>131940</v>
      </c>
      <c r="I340" s="79">
        <f t="shared" si="559"/>
        <v>140490</v>
      </c>
      <c r="J340" s="80">
        <f t="shared" si="548"/>
        <v>1863</v>
      </c>
      <c r="K340" s="80">
        <f t="shared" si="549"/>
        <v>1995</v>
      </c>
      <c r="L340" s="80">
        <f t="shared" si="550"/>
        <v>2394</v>
      </c>
      <c r="M340" s="80">
        <f t="shared" si="551"/>
        <v>2766</v>
      </c>
      <c r="N340" s="80">
        <f t="shared" si="552"/>
        <v>3087</v>
      </c>
      <c r="O340" s="80">
        <f t="shared" si="553"/>
        <v>3405</v>
      </c>
      <c r="P340" s="81"/>
      <c r="Q340" s="81"/>
      <c r="R340" s="81"/>
      <c r="S340" s="81"/>
      <c r="T340" s="81"/>
      <c r="U340" s="81"/>
      <c r="V340" s="81"/>
      <c r="W340" s="81"/>
      <c r="X340" s="81"/>
      <c r="Y340" s="81"/>
      <c r="Z340" s="81"/>
      <c r="AA340" s="81"/>
      <c r="AB340" s="81"/>
      <c r="AC340" s="81"/>
      <c r="AD340" s="81"/>
      <c r="AE340" s="81"/>
      <c r="AF340" s="81"/>
    </row>
    <row r="341" spans="1:32">
      <c r="A341" s="76" t="s">
        <v>1075</v>
      </c>
      <c r="B341" s="79">
        <f>B333*2</f>
        <v>82800</v>
      </c>
      <c r="C341" s="79">
        <f t="shared" ref="C341:I341" si="560">C333*2</f>
        <v>94600</v>
      </c>
      <c r="D341" s="79">
        <f t="shared" si="560"/>
        <v>106400</v>
      </c>
      <c r="E341" s="79">
        <f t="shared" si="560"/>
        <v>118200</v>
      </c>
      <c r="F341" s="79">
        <f t="shared" si="560"/>
        <v>127700</v>
      </c>
      <c r="G341" s="79">
        <f t="shared" si="560"/>
        <v>137200</v>
      </c>
      <c r="H341" s="79">
        <f t="shared" si="560"/>
        <v>146600</v>
      </c>
      <c r="I341" s="79">
        <f t="shared" si="560"/>
        <v>156100</v>
      </c>
      <c r="J341" s="80">
        <f>J333*2</f>
        <v>2070</v>
      </c>
      <c r="K341" s="80">
        <f t="shared" ref="K341:O341" si="561">K333*2</f>
        <v>2216</v>
      </c>
      <c r="L341" s="80">
        <f t="shared" si="561"/>
        <v>2660</v>
      </c>
      <c r="M341" s="80">
        <f t="shared" si="561"/>
        <v>3072</v>
      </c>
      <c r="N341" s="80">
        <f t="shared" si="561"/>
        <v>3430</v>
      </c>
      <c r="O341" s="80">
        <f t="shared" si="561"/>
        <v>3782</v>
      </c>
      <c r="P341" s="81"/>
      <c r="Q341" s="81"/>
      <c r="R341" s="81"/>
      <c r="S341" s="81"/>
      <c r="T341" s="81"/>
      <c r="U341" s="81"/>
      <c r="V341" s="81"/>
      <c r="W341" s="81"/>
      <c r="X341" s="81"/>
      <c r="Y341" s="81"/>
      <c r="Z341" s="81"/>
      <c r="AA341" s="81"/>
      <c r="AB341" s="81"/>
      <c r="AC341" s="81"/>
      <c r="AD341" s="81"/>
      <c r="AE341" s="81"/>
      <c r="AF341" s="81"/>
    </row>
    <row r="342" spans="1:32">
      <c r="A342" s="76" t="s">
        <v>1076</v>
      </c>
      <c r="B342" s="79">
        <f>B333*2*1.1</f>
        <v>91080.000000000015</v>
      </c>
      <c r="C342" s="79">
        <f t="shared" ref="C342:I342" si="562">C333*2*1.1</f>
        <v>104060.00000000001</v>
      </c>
      <c r="D342" s="79">
        <f t="shared" si="562"/>
        <v>117040.00000000001</v>
      </c>
      <c r="E342" s="79">
        <f t="shared" si="562"/>
        <v>130020.00000000001</v>
      </c>
      <c r="F342" s="79">
        <f t="shared" si="562"/>
        <v>140470</v>
      </c>
      <c r="G342" s="79">
        <f t="shared" si="562"/>
        <v>150920</v>
      </c>
      <c r="H342" s="79">
        <f t="shared" si="562"/>
        <v>161260</v>
      </c>
      <c r="I342" s="79">
        <f t="shared" si="562"/>
        <v>171710</v>
      </c>
      <c r="J342" s="80">
        <f t="shared" ref="J342:J350" si="563">TRUNC(B342/12*0.3)</f>
        <v>2277</v>
      </c>
      <c r="K342" s="80">
        <f t="shared" ref="K342:K350" si="564">TRUNC((B342+C342)/2/12*0.3)</f>
        <v>2439</v>
      </c>
      <c r="L342" s="80">
        <f t="shared" ref="L342:L350" si="565">TRUNC((D342)/12*0.3)</f>
        <v>2926</v>
      </c>
      <c r="M342" s="80">
        <f t="shared" ref="M342:M350" si="566">TRUNC(((E342+F342)/2)/12*0.3)</f>
        <v>3381</v>
      </c>
      <c r="N342" s="80">
        <f t="shared" ref="N342:N350" si="567">TRUNC(G342/12*0.3)</f>
        <v>3773</v>
      </c>
      <c r="O342" s="80">
        <f t="shared" ref="O342:O350" si="568">TRUNC(((H342+I342)/2)/12*0.3)</f>
        <v>4162</v>
      </c>
      <c r="P342" s="81"/>
      <c r="Q342" s="81"/>
      <c r="R342" s="81"/>
      <c r="S342" s="81"/>
      <c r="T342" s="81"/>
      <c r="U342" s="81"/>
      <c r="V342" s="81"/>
      <c r="W342" s="81"/>
      <c r="X342" s="81"/>
      <c r="Y342" s="81"/>
      <c r="Z342" s="81"/>
      <c r="AA342" s="81"/>
      <c r="AB342" s="81"/>
      <c r="AC342" s="81"/>
      <c r="AD342" s="81"/>
      <c r="AE342" s="81"/>
      <c r="AF342" s="81"/>
    </row>
    <row r="343" spans="1:32">
      <c r="A343" s="76" t="s">
        <v>1077</v>
      </c>
      <c r="B343" s="79">
        <f>B333*2*1.2</f>
        <v>99360</v>
      </c>
      <c r="C343" s="79">
        <f t="shared" ref="C343:I343" si="569">C333*2*1.2</f>
        <v>113520</v>
      </c>
      <c r="D343" s="79">
        <f t="shared" si="569"/>
        <v>127680</v>
      </c>
      <c r="E343" s="79">
        <f t="shared" si="569"/>
        <v>141840</v>
      </c>
      <c r="F343" s="79">
        <f t="shared" si="569"/>
        <v>153240</v>
      </c>
      <c r="G343" s="79">
        <f t="shared" si="569"/>
        <v>164640</v>
      </c>
      <c r="H343" s="79">
        <f t="shared" si="569"/>
        <v>175920</v>
      </c>
      <c r="I343" s="79">
        <f t="shared" si="569"/>
        <v>187320</v>
      </c>
      <c r="J343" s="80">
        <f t="shared" si="563"/>
        <v>2484</v>
      </c>
      <c r="K343" s="80">
        <f t="shared" si="564"/>
        <v>2661</v>
      </c>
      <c r="L343" s="80">
        <f t="shared" si="565"/>
        <v>3192</v>
      </c>
      <c r="M343" s="80">
        <f t="shared" si="566"/>
        <v>3688</v>
      </c>
      <c r="N343" s="80">
        <f t="shared" si="567"/>
        <v>4116</v>
      </c>
      <c r="O343" s="80">
        <f t="shared" si="568"/>
        <v>4540</v>
      </c>
      <c r="P343" s="81"/>
      <c r="Q343" s="81"/>
      <c r="R343" s="81"/>
      <c r="S343" s="81"/>
      <c r="T343" s="81"/>
      <c r="U343" s="81"/>
      <c r="V343" s="81"/>
      <c r="W343" s="81"/>
      <c r="X343" s="81"/>
      <c r="Y343" s="81"/>
      <c r="Z343" s="81"/>
      <c r="AA343" s="81"/>
      <c r="AB343" s="81"/>
      <c r="AC343" s="81"/>
      <c r="AD343" s="81"/>
      <c r="AE343" s="81"/>
      <c r="AF343" s="81"/>
    </row>
    <row r="344" spans="1:32">
      <c r="A344" s="76" t="s">
        <v>1078</v>
      </c>
      <c r="B344" s="79">
        <f>B351*2*0.15</f>
        <v>7320</v>
      </c>
      <c r="C344" s="79">
        <f>C351*2*0.15</f>
        <v>8370</v>
      </c>
      <c r="D344" s="79">
        <f>D351*2*0.15</f>
        <v>9420</v>
      </c>
      <c r="E344" s="79">
        <f>E351*2*0.15</f>
        <v>10455</v>
      </c>
      <c r="F344" s="79">
        <f>F351*2*0.15</f>
        <v>11295</v>
      </c>
      <c r="G344" s="79">
        <f t="shared" ref="G344:I344" si="570">G351*2*0.15</f>
        <v>12135</v>
      </c>
      <c r="H344" s="79">
        <f t="shared" si="570"/>
        <v>12975</v>
      </c>
      <c r="I344" s="79">
        <f t="shared" si="570"/>
        <v>13815</v>
      </c>
      <c r="J344" s="80">
        <f t="shared" si="563"/>
        <v>183</v>
      </c>
      <c r="K344" s="80">
        <f t="shared" si="564"/>
        <v>196</v>
      </c>
      <c r="L344" s="80">
        <f t="shared" si="565"/>
        <v>235</v>
      </c>
      <c r="M344" s="80">
        <f t="shared" si="566"/>
        <v>271</v>
      </c>
      <c r="N344" s="80">
        <f t="shared" si="567"/>
        <v>303</v>
      </c>
      <c r="O344" s="80">
        <f t="shared" si="568"/>
        <v>334</v>
      </c>
      <c r="P344" s="81"/>
      <c r="Q344" s="81"/>
      <c r="R344" s="81"/>
      <c r="S344" s="81"/>
      <c r="T344" s="81"/>
      <c r="U344" s="81"/>
      <c r="V344" s="81"/>
      <c r="W344" s="81"/>
      <c r="X344" s="81"/>
      <c r="Y344" s="81"/>
      <c r="Z344" s="81"/>
      <c r="AA344" s="81"/>
      <c r="AB344" s="81"/>
      <c r="AC344" s="81"/>
      <c r="AD344" s="81"/>
      <c r="AE344" s="81"/>
      <c r="AF344" s="81"/>
    </row>
    <row r="345" spans="1:32">
      <c r="A345" s="76" t="s">
        <v>1079</v>
      </c>
      <c r="B345" s="79">
        <f>B351*2*0.2</f>
        <v>9760</v>
      </c>
      <c r="C345" s="79">
        <f t="shared" ref="C345:I345" si="571">C351*2*0.2</f>
        <v>11160</v>
      </c>
      <c r="D345" s="79">
        <f t="shared" si="571"/>
        <v>12560</v>
      </c>
      <c r="E345" s="79">
        <f t="shared" si="571"/>
        <v>13940</v>
      </c>
      <c r="F345" s="79">
        <f t="shared" si="571"/>
        <v>15060</v>
      </c>
      <c r="G345" s="79">
        <f t="shared" si="571"/>
        <v>16180</v>
      </c>
      <c r="H345" s="79">
        <f t="shared" si="571"/>
        <v>17300</v>
      </c>
      <c r="I345" s="79">
        <f t="shared" si="571"/>
        <v>18420</v>
      </c>
      <c r="J345" s="80">
        <f t="shared" si="563"/>
        <v>244</v>
      </c>
      <c r="K345" s="80">
        <f t="shared" si="564"/>
        <v>261</v>
      </c>
      <c r="L345" s="80">
        <f t="shared" si="565"/>
        <v>314</v>
      </c>
      <c r="M345" s="80">
        <f t="shared" si="566"/>
        <v>362</v>
      </c>
      <c r="N345" s="80">
        <f t="shared" si="567"/>
        <v>404</v>
      </c>
      <c r="O345" s="80">
        <f t="shared" si="568"/>
        <v>446</v>
      </c>
      <c r="P345" s="81"/>
      <c r="Q345" s="81"/>
      <c r="R345" s="81"/>
      <c r="S345" s="81"/>
      <c r="T345" s="81"/>
      <c r="U345" s="81"/>
      <c r="V345" s="81"/>
      <c r="W345" s="81"/>
      <c r="X345" s="81"/>
      <c r="Y345" s="81"/>
      <c r="Z345" s="81"/>
      <c r="AA345" s="81"/>
      <c r="AB345" s="81"/>
      <c r="AC345" s="81"/>
      <c r="AD345" s="81"/>
      <c r="AE345" s="81"/>
      <c r="AF345" s="81"/>
    </row>
    <row r="346" spans="1:32">
      <c r="A346" s="76" t="s">
        <v>1080</v>
      </c>
      <c r="B346" s="79">
        <f>B351*2*0.25</f>
        <v>12200</v>
      </c>
      <c r="C346" s="79">
        <f t="shared" ref="C346:I346" si="572">C351*2*0.25</f>
        <v>13950</v>
      </c>
      <c r="D346" s="79">
        <f t="shared" si="572"/>
        <v>15700</v>
      </c>
      <c r="E346" s="79">
        <f t="shared" si="572"/>
        <v>17425</v>
      </c>
      <c r="F346" s="79">
        <f t="shared" si="572"/>
        <v>18825</v>
      </c>
      <c r="G346" s="79">
        <f t="shared" si="572"/>
        <v>20225</v>
      </c>
      <c r="H346" s="79">
        <f t="shared" si="572"/>
        <v>21625</v>
      </c>
      <c r="I346" s="79">
        <f t="shared" si="572"/>
        <v>23025</v>
      </c>
      <c r="J346" s="80">
        <f t="shared" si="563"/>
        <v>305</v>
      </c>
      <c r="K346" s="80">
        <f t="shared" si="564"/>
        <v>326</v>
      </c>
      <c r="L346" s="80">
        <f t="shared" si="565"/>
        <v>392</v>
      </c>
      <c r="M346" s="80">
        <f t="shared" si="566"/>
        <v>453</v>
      </c>
      <c r="N346" s="80">
        <f t="shared" si="567"/>
        <v>505</v>
      </c>
      <c r="O346" s="80">
        <f t="shared" si="568"/>
        <v>558</v>
      </c>
      <c r="P346" s="81"/>
      <c r="Q346" s="81"/>
      <c r="R346" s="81"/>
      <c r="S346" s="81"/>
      <c r="T346" s="81"/>
      <c r="U346" s="81"/>
      <c r="V346" s="81"/>
      <c r="W346" s="81"/>
      <c r="X346" s="81"/>
      <c r="Y346" s="81"/>
      <c r="Z346" s="81"/>
      <c r="AA346" s="81"/>
      <c r="AB346" s="81"/>
      <c r="AC346" s="81"/>
      <c r="AD346" s="81"/>
      <c r="AE346" s="81"/>
      <c r="AF346" s="81"/>
    </row>
    <row r="347" spans="1:32">
      <c r="A347" s="76" t="s">
        <v>1081</v>
      </c>
      <c r="B347" s="79">
        <f>B351*2*0.3</f>
        <v>14640</v>
      </c>
      <c r="C347" s="79">
        <f t="shared" ref="C347:I347" si="573">C351*2*0.3</f>
        <v>16740</v>
      </c>
      <c r="D347" s="79">
        <f t="shared" si="573"/>
        <v>18840</v>
      </c>
      <c r="E347" s="79">
        <f t="shared" si="573"/>
        <v>20910</v>
      </c>
      <c r="F347" s="79">
        <f t="shared" si="573"/>
        <v>22590</v>
      </c>
      <c r="G347" s="79">
        <f t="shared" si="573"/>
        <v>24270</v>
      </c>
      <c r="H347" s="79">
        <f t="shared" si="573"/>
        <v>25950</v>
      </c>
      <c r="I347" s="79">
        <f t="shared" si="573"/>
        <v>27630</v>
      </c>
      <c r="J347" s="80">
        <f t="shared" si="563"/>
        <v>366</v>
      </c>
      <c r="K347" s="80">
        <f t="shared" si="564"/>
        <v>392</v>
      </c>
      <c r="L347" s="80">
        <f t="shared" si="565"/>
        <v>471</v>
      </c>
      <c r="M347" s="80">
        <f t="shared" si="566"/>
        <v>543</v>
      </c>
      <c r="N347" s="80">
        <f t="shared" si="567"/>
        <v>606</v>
      </c>
      <c r="O347" s="80">
        <f t="shared" si="568"/>
        <v>669</v>
      </c>
      <c r="P347" s="81"/>
      <c r="Q347" s="81"/>
      <c r="R347" s="81"/>
      <c r="S347" s="81"/>
      <c r="T347" s="81"/>
      <c r="U347" s="81"/>
      <c r="V347" s="81"/>
      <c r="W347" s="81"/>
      <c r="X347" s="81"/>
      <c r="Y347" s="81"/>
      <c r="Z347" s="81"/>
      <c r="AA347" s="81"/>
      <c r="AB347" s="81"/>
      <c r="AC347" s="81"/>
      <c r="AD347" s="81"/>
      <c r="AE347" s="81"/>
      <c r="AF347" s="81"/>
    </row>
    <row r="348" spans="1:32">
      <c r="A348" s="76" t="s">
        <v>1082</v>
      </c>
      <c r="B348" s="79">
        <f>B351*2*0.35</f>
        <v>17080</v>
      </c>
      <c r="C348" s="79">
        <f t="shared" ref="C348:I348" si="574">C351*2*0.35</f>
        <v>19530</v>
      </c>
      <c r="D348" s="79">
        <f t="shared" si="574"/>
        <v>21980</v>
      </c>
      <c r="E348" s="79">
        <f t="shared" si="574"/>
        <v>24395</v>
      </c>
      <c r="F348" s="79">
        <f t="shared" si="574"/>
        <v>26355</v>
      </c>
      <c r="G348" s="79">
        <f t="shared" si="574"/>
        <v>28315</v>
      </c>
      <c r="H348" s="79">
        <f t="shared" si="574"/>
        <v>30274.999999999996</v>
      </c>
      <c r="I348" s="79">
        <f t="shared" si="574"/>
        <v>32234.999999999996</v>
      </c>
      <c r="J348" s="80">
        <f t="shared" si="563"/>
        <v>427</v>
      </c>
      <c r="K348" s="80">
        <f t="shared" si="564"/>
        <v>457</v>
      </c>
      <c r="L348" s="80">
        <f t="shared" si="565"/>
        <v>549</v>
      </c>
      <c r="M348" s="80">
        <f t="shared" si="566"/>
        <v>634</v>
      </c>
      <c r="N348" s="80">
        <f t="shared" si="567"/>
        <v>707</v>
      </c>
      <c r="O348" s="80">
        <f t="shared" si="568"/>
        <v>781</v>
      </c>
      <c r="P348" s="81"/>
      <c r="Q348" s="81"/>
      <c r="R348" s="81"/>
      <c r="S348" s="81"/>
      <c r="T348" s="81"/>
      <c r="U348" s="81"/>
      <c r="V348" s="81"/>
      <c r="W348" s="81"/>
      <c r="X348" s="81"/>
      <c r="Y348" s="81"/>
      <c r="Z348" s="81"/>
      <c r="AA348" s="81"/>
      <c r="AB348" s="81"/>
      <c r="AC348" s="81"/>
      <c r="AD348" s="81"/>
      <c r="AE348" s="81"/>
      <c r="AF348" s="81"/>
    </row>
    <row r="349" spans="1:32">
      <c r="A349" s="76" t="s">
        <v>1083</v>
      </c>
      <c r="B349" s="79">
        <f>B351*2*0.4</f>
        <v>19520</v>
      </c>
      <c r="C349" s="79">
        <f t="shared" ref="C349:I349" si="575">C351*2*0.4</f>
        <v>22320</v>
      </c>
      <c r="D349" s="79">
        <f t="shared" si="575"/>
        <v>25120</v>
      </c>
      <c r="E349" s="79">
        <f t="shared" si="575"/>
        <v>27880</v>
      </c>
      <c r="F349" s="79">
        <f t="shared" si="575"/>
        <v>30120</v>
      </c>
      <c r="G349" s="79">
        <f t="shared" si="575"/>
        <v>32360</v>
      </c>
      <c r="H349" s="79">
        <f t="shared" si="575"/>
        <v>34600</v>
      </c>
      <c r="I349" s="79">
        <f t="shared" si="575"/>
        <v>36840</v>
      </c>
      <c r="J349" s="80">
        <f t="shared" si="563"/>
        <v>488</v>
      </c>
      <c r="K349" s="80">
        <f t="shared" si="564"/>
        <v>523</v>
      </c>
      <c r="L349" s="80">
        <f t="shared" si="565"/>
        <v>628</v>
      </c>
      <c r="M349" s="80">
        <f t="shared" si="566"/>
        <v>725</v>
      </c>
      <c r="N349" s="80">
        <f t="shared" si="567"/>
        <v>809</v>
      </c>
      <c r="O349" s="80">
        <f t="shared" si="568"/>
        <v>893</v>
      </c>
      <c r="P349" s="81"/>
      <c r="Q349" s="81"/>
      <c r="R349" s="81"/>
      <c r="S349" s="81"/>
      <c r="T349" s="81"/>
      <c r="U349" s="81"/>
      <c r="V349" s="81"/>
      <c r="W349" s="81"/>
      <c r="X349" s="81"/>
      <c r="Y349" s="81"/>
      <c r="Z349" s="81"/>
      <c r="AA349" s="81"/>
      <c r="AB349" s="81"/>
      <c r="AC349" s="81"/>
      <c r="AD349" s="81"/>
      <c r="AE349" s="81"/>
      <c r="AF349" s="81"/>
    </row>
    <row r="350" spans="1:32">
      <c r="A350" s="76" t="s">
        <v>1084</v>
      </c>
      <c r="B350" s="79">
        <f>B351*2*0.45</f>
        <v>21960</v>
      </c>
      <c r="C350" s="79">
        <f t="shared" ref="C350:I350" si="576">C351*2*0.45</f>
        <v>25110</v>
      </c>
      <c r="D350" s="79">
        <f t="shared" si="576"/>
        <v>28260</v>
      </c>
      <c r="E350" s="79">
        <f t="shared" si="576"/>
        <v>31365</v>
      </c>
      <c r="F350" s="79">
        <f t="shared" si="576"/>
        <v>33885</v>
      </c>
      <c r="G350" s="79">
        <f t="shared" si="576"/>
        <v>36405</v>
      </c>
      <c r="H350" s="79">
        <f t="shared" si="576"/>
        <v>38925</v>
      </c>
      <c r="I350" s="79">
        <f t="shared" si="576"/>
        <v>41445</v>
      </c>
      <c r="J350" s="80">
        <f t="shared" si="563"/>
        <v>549</v>
      </c>
      <c r="K350" s="80">
        <f t="shared" si="564"/>
        <v>588</v>
      </c>
      <c r="L350" s="80">
        <f t="shared" si="565"/>
        <v>706</v>
      </c>
      <c r="M350" s="80">
        <f t="shared" si="566"/>
        <v>815</v>
      </c>
      <c r="N350" s="80">
        <f t="shared" si="567"/>
        <v>910</v>
      </c>
      <c r="O350" s="80">
        <f t="shared" si="568"/>
        <v>1004</v>
      </c>
      <c r="P350" s="81"/>
      <c r="Q350" s="81"/>
      <c r="R350" s="81"/>
      <c r="S350" s="81"/>
      <c r="T350" s="81"/>
      <c r="U350" s="81"/>
      <c r="V350" s="81"/>
      <c r="W350" s="81"/>
      <c r="X350" s="81"/>
      <c r="Y350" s="81"/>
      <c r="Z350" s="81"/>
      <c r="AA350" s="81"/>
      <c r="AB350" s="81"/>
      <c r="AC350" s="81"/>
      <c r="AD350" s="81"/>
      <c r="AE350" s="81"/>
      <c r="AF350" s="81"/>
    </row>
    <row r="351" spans="1:32">
      <c r="A351" s="82" t="s">
        <v>1085</v>
      </c>
      <c r="B351" s="84">
        <f>'MTSP 50% Income Limits '!B21</f>
        <v>24400</v>
      </c>
      <c r="C351" s="84">
        <f>'MTSP 50% Income Limits '!C21</f>
        <v>27900</v>
      </c>
      <c r="D351" s="84">
        <f>'MTSP 50% Income Limits '!D21</f>
        <v>31400</v>
      </c>
      <c r="E351" s="84">
        <f>'MTSP 50% Income Limits '!E21</f>
        <v>34850</v>
      </c>
      <c r="F351" s="84">
        <f>'MTSP 50% Income Limits '!F21</f>
        <v>37650</v>
      </c>
      <c r="G351" s="84">
        <f>'MTSP 50% Income Limits '!G21</f>
        <v>40450</v>
      </c>
      <c r="H351" s="84">
        <f>'MTSP 50% Income Limits '!H21</f>
        <v>43250</v>
      </c>
      <c r="I351" s="84">
        <f>'MTSP 50% Income Limits '!I21</f>
        <v>46050</v>
      </c>
      <c r="J351" s="83">
        <f>TRUNC(B351/12*0.3)</f>
        <v>610</v>
      </c>
      <c r="K351" s="83">
        <f>TRUNC((B351+C351)/2/12*0.3)</f>
        <v>653</v>
      </c>
      <c r="L351" s="83">
        <f>TRUNC((D351)/12*0.3)</f>
        <v>785</v>
      </c>
      <c r="M351" s="83">
        <f>TRUNC(((E351+F351)/2)/12*0.3)</f>
        <v>906</v>
      </c>
      <c r="N351" s="83">
        <f>TRUNC(G351/12*0.3)</f>
        <v>1011</v>
      </c>
      <c r="O351" s="83">
        <f>TRUNC(((H351+I351)/2)/12*0.3)</f>
        <v>1116</v>
      </c>
      <c r="P351" s="81"/>
      <c r="Q351" s="81"/>
      <c r="R351" s="81"/>
      <c r="S351" s="81"/>
      <c r="T351" s="81"/>
      <c r="U351" s="81"/>
      <c r="V351" s="81"/>
      <c r="W351" s="81"/>
      <c r="X351" s="81"/>
      <c r="Y351" s="81"/>
      <c r="Z351" s="81"/>
      <c r="AA351" s="81"/>
      <c r="AB351" s="81"/>
      <c r="AC351" s="81"/>
      <c r="AD351" s="81"/>
      <c r="AE351" s="81"/>
      <c r="AF351" s="81"/>
    </row>
    <row r="352" spans="1:32">
      <c r="A352" s="76" t="s">
        <v>1086</v>
      </c>
      <c r="B352" s="79">
        <f>B351*2*0.55</f>
        <v>26840.000000000004</v>
      </c>
      <c r="C352" s="79">
        <f t="shared" ref="C352:I352" si="577">C351*2*0.55</f>
        <v>30690.000000000004</v>
      </c>
      <c r="D352" s="79">
        <f t="shared" si="577"/>
        <v>34540</v>
      </c>
      <c r="E352" s="79">
        <f t="shared" si="577"/>
        <v>38335</v>
      </c>
      <c r="F352" s="79">
        <f t="shared" si="577"/>
        <v>41415</v>
      </c>
      <c r="G352" s="79">
        <f t="shared" si="577"/>
        <v>44495</v>
      </c>
      <c r="H352" s="79">
        <f t="shared" si="577"/>
        <v>47575.000000000007</v>
      </c>
      <c r="I352" s="79">
        <f t="shared" si="577"/>
        <v>50655.000000000007</v>
      </c>
      <c r="J352" s="80">
        <f t="shared" ref="J352:J358" si="578">TRUNC(B352/12*0.3)</f>
        <v>671</v>
      </c>
      <c r="K352" s="80">
        <f t="shared" ref="K352:K358" si="579">TRUNC((B352+C352)/2/12*0.3)</f>
        <v>719</v>
      </c>
      <c r="L352" s="80">
        <f t="shared" ref="L352:L358" si="580">TRUNC((D352)/12*0.3)</f>
        <v>863</v>
      </c>
      <c r="M352" s="80">
        <f t="shared" ref="M352:M358" si="581">TRUNC(((E352+F352)/2)/12*0.3)</f>
        <v>996</v>
      </c>
      <c r="N352" s="80">
        <f t="shared" ref="N352:N358" si="582">TRUNC(G352/12*0.3)</f>
        <v>1112</v>
      </c>
      <c r="O352" s="80">
        <f t="shared" ref="O352:O358" si="583">TRUNC(((H352+I352)/2)/12*0.3)</f>
        <v>1227</v>
      </c>
      <c r="P352" s="81"/>
      <c r="Q352" s="81"/>
      <c r="R352" s="81"/>
      <c r="S352" s="81"/>
      <c r="T352" s="81"/>
      <c r="U352" s="81"/>
      <c r="V352" s="81"/>
      <c r="W352" s="81"/>
      <c r="X352" s="81"/>
      <c r="Y352" s="81"/>
      <c r="Z352" s="81"/>
      <c r="AA352" s="81"/>
      <c r="AB352" s="81"/>
      <c r="AC352" s="81"/>
      <c r="AD352" s="81"/>
      <c r="AE352" s="81"/>
      <c r="AF352" s="81"/>
    </row>
    <row r="353" spans="1:32">
      <c r="A353" s="76" t="s">
        <v>1087</v>
      </c>
      <c r="B353" s="79">
        <f>B351*2*0.6</f>
        <v>29280</v>
      </c>
      <c r="C353" s="79">
        <f t="shared" ref="C353:I353" si="584">C351*2*0.6</f>
        <v>33480</v>
      </c>
      <c r="D353" s="79">
        <f t="shared" si="584"/>
        <v>37680</v>
      </c>
      <c r="E353" s="79">
        <f t="shared" si="584"/>
        <v>41820</v>
      </c>
      <c r="F353" s="79">
        <f t="shared" si="584"/>
        <v>45180</v>
      </c>
      <c r="G353" s="79">
        <f t="shared" si="584"/>
        <v>48540</v>
      </c>
      <c r="H353" s="79">
        <f t="shared" si="584"/>
        <v>51900</v>
      </c>
      <c r="I353" s="79">
        <f t="shared" si="584"/>
        <v>55260</v>
      </c>
      <c r="J353" s="80">
        <f t="shared" si="578"/>
        <v>732</v>
      </c>
      <c r="K353" s="80">
        <f t="shared" si="579"/>
        <v>784</v>
      </c>
      <c r="L353" s="80">
        <f t="shared" si="580"/>
        <v>942</v>
      </c>
      <c r="M353" s="80">
        <f t="shared" si="581"/>
        <v>1087</v>
      </c>
      <c r="N353" s="80">
        <f t="shared" si="582"/>
        <v>1213</v>
      </c>
      <c r="O353" s="80">
        <f t="shared" si="583"/>
        <v>1339</v>
      </c>
      <c r="P353" s="81"/>
      <c r="Q353" s="81"/>
      <c r="R353" s="81"/>
      <c r="S353" s="81"/>
      <c r="T353" s="81"/>
      <c r="U353" s="81"/>
      <c r="V353" s="81"/>
      <c r="W353" s="81"/>
      <c r="X353" s="81"/>
      <c r="Y353" s="81"/>
      <c r="Z353" s="81"/>
      <c r="AA353" s="81"/>
      <c r="AB353" s="81"/>
      <c r="AC353" s="81"/>
      <c r="AD353" s="81"/>
      <c r="AE353" s="81"/>
      <c r="AF353" s="81"/>
    </row>
    <row r="354" spans="1:32">
      <c r="A354" s="76" t="s">
        <v>1088</v>
      </c>
      <c r="B354" s="79">
        <f>B351*2*0.65</f>
        <v>31720</v>
      </c>
      <c r="C354" s="79">
        <f t="shared" ref="C354:I354" si="585">C351*2*0.65</f>
        <v>36270</v>
      </c>
      <c r="D354" s="79">
        <f t="shared" si="585"/>
        <v>40820</v>
      </c>
      <c r="E354" s="79">
        <f t="shared" si="585"/>
        <v>45305</v>
      </c>
      <c r="F354" s="79">
        <f t="shared" si="585"/>
        <v>48945</v>
      </c>
      <c r="G354" s="79">
        <f t="shared" si="585"/>
        <v>52585</v>
      </c>
      <c r="H354" s="79">
        <f t="shared" si="585"/>
        <v>56225</v>
      </c>
      <c r="I354" s="79">
        <f t="shared" si="585"/>
        <v>59865</v>
      </c>
      <c r="J354" s="80">
        <f t="shared" si="578"/>
        <v>793</v>
      </c>
      <c r="K354" s="80">
        <f t="shared" si="579"/>
        <v>849</v>
      </c>
      <c r="L354" s="80">
        <f t="shared" si="580"/>
        <v>1020</v>
      </c>
      <c r="M354" s="80">
        <f t="shared" si="581"/>
        <v>1178</v>
      </c>
      <c r="N354" s="80">
        <f t="shared" si="582"/>
        <v>1314</v>
      </c>
      <c r="O354" s="80">
        <f t="shared" si="583"/>
        <v>1451</v>
      </c>
      <c r="P354" s="81"/>
      <c r="Q354" s="81"/>
      <c r="R354" s="81"/>
      <c r="S354" s="81"/>
      <c r="T354" s="81"/>
      <c r="U354" s="81"/>
      <c r="V354" s="81"/>
      <c r="W354" s="81"/>
      <c r="X354" s="81"/>
      <c r="Y354" s="81"/>
      <c r="Z354" s="81"/>
      <c r="AA354" s="81"/>
      <c r="AB354" s="81"/>
      <c r="AC354" s="81"/>
      <c r="AD354" s="81"/>
      <c r="AE354" s="81"/>
      <c r="AF354" s="81"/>
    </row>
    <row r="355" spans="1:32">
      <c r="A355" s="76" t="s">
        <v>1089</v>
      </c>
      <c r="B355" s="79">
        <f>B351*2*0.7</f>
        <v>34160</v>
      </c>
      <c r="C355" s="79">
        <f t="shared" ref="C355:I355" si="586">C351*2*0.7</f>
        <v>39060</v>
      </c>
      <c r="D355" s="79">
        <f t="shared" si="586"/>
        <v>43960</v>
      </c>
      <c r="E355" s="79">
        <f t="shared" si="586"/>
        <v>48790</v>
      </c>
      <c r="F355" s="79">
        <f t="shared" si="586"/>
        <v>52710</v>
      </c>
      <c r="G355" s="79">
        <f t="shared" si="586"/>
        <v>56630</v>
      </c>
      <c r="H355" s="79">
        <f t="shared" si="586"/>
        <v>60549.999999999993</v>
      </c>
      <c r="I355" s="79">
        <f t="shared" si="586"/>
        <v>64469.999999999993</v>
      </c>
      <c r="J355" s="80">
        <f t="shared" si="578"/>
        <v>854</v>
      </c>
      <c r="K355" s="80">
        <f t="shared" si="579"/>
        <v>915</v>
      </c>
      <c r="L355" s="80">
        <f t="shared" si="580"/>
        <v>1099</v>
      </c>
      <c r="M355" s="80">
        <f t="shared" si="581"/>
        <v>1268</v>
      </c>
      <c r="N355" s="80">
        <f t="shared" si="582"/>
        <v>1415</v>
      </c>
      <c r="O355" s="80">
        <f t="shared" si="583"/>
        <v>1562</v>
      </c>
      <c r="P355" s="81"/>
      <c r="Q355" s="81"/>
      <c r="R355" s="81"/>
      <c r="S355" s="81"/>
      <c r="T355" s="81"/>
      <c r="U355" s="81"/>
      <c r="V355" s="81"/>
      <c r="W355" s="81"/>
      <c r="X355" s="81"/>
      <c r="Y355" s="81"/>
      <c r="Z355" s="81"/>
      <c r="AA355" s="81"/>
      <c r="AB355" s="81"/>
      <c r="AC355" s="81"/>
      <c r="AD355" s="81"/>
      <c r="AE355" s="81"/>
      <c r="AF355" s="81"/>
    </row>
    <row r="356" spans="1:32">
      <c r="A356" s="76" t="s">
        <v>1090</v>
      </c>
      <c r="B356" s="79">
        <f>B351*2*0.75</f>
        <v>36600</v>
      </c>
      <c r="C356" s="79">
        <f t="shared" ref="C356:I356" si="587">C351*2*0.75</f>
        <v>41850</v>
      </c>
      <c r="D356" s="79">
        <f t="shared" si="587"/>
        <v>47100</v>
      </c>
      <c r="E356" s="79">
        <f t="shared" si="587"/>
        <v>52275</v>
      </c>
      <c r="F356" s="79">
        <f t="shared" si="587"/>
        <v>56475</v>
      </c>
      <c r="G356" s="79">
        <f t="shared" si="587"/>
        <v>60675</v>
      </c>
      <c r="H356" s="79">
        <f t="shared" si="587"/>
        <v>64875</v>
      </c>
      <c r="I356" s="79">
        <f t="shared" si="587"/>
        <v>69075</v>
      </c>
      <c r="J356" s="80">
        <f t="shared" si="578"/>
        <v>915</v>
      </c>
      <c r="K356" s="80">
        <f t="shared" si="579"/>
        <v>980</v>
      </c>
      <c r="L356" s="80">
        <f t="shared" si="580"/>
        <v>1177</v>
      </c>
      <c r="M356" s="80">
        <f t="shared" si="581"/>
        <v>1359</v>
      </c>
      <c r="N356" s="80">
        <f t="shared" si="582"/>
        <v>1516</v>
      </c>
      <c r="O356" s="80">
        <f t="shared" si="583"/>
        <v>1674</v>
      </c>
      <c r="P356" s="81"/>
      <c r="Q356" s="81"/>
      <c r="R356" s="81"/>
      <c r="S356" s="81"/>
      <c r="T356" s="81"/>
      <c r="U356" s="81"/>
      <c r="V356" s="81"/>
      <c r="W356" s="81"/>
      <c r="X356" s="81"/>
      <c r="Y356" s="81"/>
      <c r="Z356" s="81"/>
      <c r="AA356" s="81"/>
      <c r="AB356" s="81"/>
      <c r="AC356" s="81"/>
      <c r="AD356" s="81"/>
      <c r="AE356" s="81"/>
      <c r="AF356" s="81"/>
    </row>
    <row r="357" spans="1:32">
      <c r="A357" s="76" t="s">
        <v>1091</v>
      </c>
      <c r="B357" s="79">
        <f>B351*2*0.8</f>
        <v>39040</v>
      </c>
      <c r="C357" s="79">
        <f t="shared" ref="C357:I357" si="588">C351*2*0.8</f>
        <v>44640</v>
      </c>
      <c r="D357" s="79">
        <f t="shared" si="588"/>
        <v>50240</v>
      </c>
      <c r="E357" s="79">
        <f t="shared" si="588"/>
        <v>55760</v>
      </c>
      <c r="F357" s="79">
        <f t="shared" si="588"/>
        <v>60240</v>
      </c>
      <c r="G357" s="79">
        <f t="shared" si="588"/>
        <v>64720</v>
      </c>
      <c r="H357" s="79">
        <f t="shared" si="588"/>
        <v>69200</v>
      </c>
      <c r="I357" s="79">
        <f t="shared" si="588"/>
        <v>73680</v>
      </c>
      <c r="J357" s="80">
        <f t="shared" si="578"/>
        <v>976</v>
      </c>
      <c r="K357" s="80">
        <f t="shared" si="579"/>
        <v>1046</v>
      </c>
      <c r="L357" s="80">
        <f t="shared" si="580"/>
        <v>1256</v>
      </c>
      <c r="M357" s="80">
        <f t="shared" si="581"/>
        <v>1450</v>
      </c>
      <c r="N357" s="80">
        <f t="shared" si="582"/>
        <v>1618</v>
      </c>
      <c r="O357" s="80">
        <f t="shared" si="583"/>
        <v>1786</v>
      </c>
      <c r="P357" s="81"/>
      <c r="Q357" s="81"/>
      <c r="R357" s="81"/>
      <c r="S357" s="81"/>
      <c r="T357" s="81"/>
      <c r="U357" s="81"/>
      <c r="V357" s="81"/>
      <c r="W357" s="81"/>
      <c r="X357" s="81"/>
      <c r="Y357" s="81"/>
      <c r="Z357" s="81"/>
      <c r="AA357" s="81"/>
      <c r="AB357" s="81"/>
      <c r="AC357" s="81"/>
      <c r="AD357" s="81"/>
      <c r="AE357" s="81"/>
      <c r="AF357" s="81"/>
    </row>
    <row r="358" spans="1:32">
      <c r="A358" s="76" t="s">
        <v>1092</v>
      </c>
      <c r="B358" s="79">
        <f>B351*2*0.9</f>
        <v>43920</v>
      </c>
      <c r="C358" s="79">
        <f t="shared" ref="C358:I358" si="589">C351*2*0.9</f>
        <v>50220</v>
      </c>
      <c r="D358" s="79">
        <f t="shared" si="589"/>
        <v>56520</v>
      </c>
      <c r="E358" s="79">
        <f t="shared" si="589"/>
        <v>62730</v>
      </c>
      <c r="F358" s="79">
        <f t="shared" si="589"/>
        <v>67770</v>
      </c>
      <c r="G358" s="79">
        <f t="shared" si="589"/>
        <v>72810</v>
      </c>
      <c r="H358" s="79">
        <f t="shared" si="589"/>
        <v>77850</v>
      </c>
      <c r="I358" s="79">
        <f t="shared" si="589"/>
        <v>82890</v>
      </c>
      <c r="J358" s="80">
        <f t="shared" si="578"/>
        <v>1098</v>
      </c>
      <c r="K358" s="80">
        <f t="shared" si="579"/>
        <v>1176</v>
      </c>
      <c r="L358" s="80">
        <f t="shared" si="580"/>
        <v>1413</v>
      </c>
      <c r="M358" s="80">
        <f t="shared" si="581"/>
        <v>1631</v>
      </c>
      <c r="N358" s="80">
        <f t="shared" si="582"/>
        <v>1820</v>
      </c>
      <c r="O358" s="80">
        <f t="shared" si="583"/>
        <v>2009</v>
      </c>
      <c r="P358" s="81"/>
      <c r="Q358" s="81"/>
      <c r="R358" s="81"/>
      <c r="S358" s="81"/>
      <c r="T358" s="81"/>
      <c r="U358" s="81"/>
      <c r="V358" s="81"/>
      <c r="W358" s="81"/>
      <c r="X358" s="81"/>
      <c r="Y358" s="81"/>
      <c r="Z358" s="81"/>
      <c r="AA358" s="81"/>
      <c r="AB358" s="81"/>
      <c r="AC358" s="81"/>
      <c r="AD358" s="81"/>
      <c r="AE358" s="81"/>
      <c r="AF358" s="81"/>
    </row>
    <row r="359" spans="1:32">
      <c r="A359" s="76" t="s">
        <v>1093</v>
      </c>
      <c r="B359" s="79">
        <f>B351*2</f>
        <v>48800</v>
      </c>
      <c r="C359" s="79">
        <f t="shared" ref="C359:I359" si="590">C351*2</f>
        <v>55800</v>
      </c>
      <c r="D359" s="79">
        <f t="shared" si="590"/>
        <v>62800</v>
      </c>
      <c r="E359" s="79">
        <f t="shared" si="590"/>
        <v>69700</v>
      </c>
      <c r="F359" s="79">
        <f t="shared" si="590"/>
        <v>75300</v>
      </c>
      <c r="G359" s="79">
        <f t="shared" si="590"/>
        <v>80900</v>
      </c>
      <c r="H359" s="79">
        <f t="shared" si="590"/>
        <v>86500</v>
      </c>
      <c r="I359" s="79">
        <f t="shared" si="590"/>
        <v>92100</v>
      </c>
      <c r="J359" s="80">
        <f>J351*2</f>
        <v>1220</v>
      </c>
      <c r="K359" s="80">
        <f t="shared" ref="K359:O359" si="591">K351*2</f>
        <v>1306</v>
      </c>
      <c r="L359" s="80">
        <f t="shared" si="591"/>
        <v>1570</v>
      </c>
      <c r="M359" s="80">
        <f t="shared" si="591"/>
        <v>1812</v>
      </c>
      <c r="N359" s="80">
        <f t="shared" si="591"/>
        <v>2022</v>
      </c>
      <c r="O359" s="80">
        <f t="shared" si="591"/>
        <v>2232</v>
      </c>
      <c r="P359" s="81"/>
      <c r="Q359" s="81"/>
      <c r="R359" s="81"/>
      <c r="S359" s="81"/>
      <c r="T359" s="81"/>
      <c r="U359" s="81"/>
      <c r="V359" s="81"/>
      <c r="W359" s="81"/>
      <c r="X359" s="81"/>
      <c r="Y359" s="81"/>
      <c r="Z359" s="81"/>
      <c r="AA359" s="81"/>
      <c r="AB359" s="81"/>
      <c r="AC359" s="81"/>
      <c r="AD359" s="81"/>
      <c r="AE359" s="81"/>
      <c r="AF359" s="81"/>
    </row>
    <row r="360" spans="1:32">
      <c r="A360" s="76" t="s">
        <v>1094</v>
      </c>
      <c r="B360" s="79">
        <f>B351*2*1.1</f>
        <v>53680.000000000007</v>
      </c>
      <c r="C360" s="79">
        <f t="shared" ref="C360:I360" si="592">C351*2*1.1</f>
        <v>61380.000000000007</v>
      </c>
      <c r="D360" s="79">
        <f t="shared" si="592"/>
        <v>69080</v>
      </c>
      <c r="E360" s="79">
        <f t="shared" si="592"/>
        <v>76670</v>
      </c>
      <c r="F360" s="79">
        <f t="shared" si="592"/>
        <v>82830</v>
      </c>
      <c r="G360" s="79">
        <f t="shared" si="592"/>
        <v>88990</v>
      </c>
      <c r="H360" s="79">
        <f t="shared" si="592"/>
        <v>95150.000000000015</v>
      </c>
      <c r="I360" s="79">
        <f t="shared" si="592"/>
        <v>101310.00000000001</v>
      </c>
      <c r="J360" s="80">
        <f t="shared" ref="J360:J368" si="593">TRUNC(B360/12*0.3)</f>
        <v>1342</v>
      </c>
      <c r="K360" s="80">
        <f t="shared" ref="K360:K368" si="594">TRUNC((B360+C360)/2/12*0.3)</f>
        <v>1438</v>
      </c>
      <c r="L360" s="80">
        <f t="shared" ref="L360:L368" si="595">TRUNC((D360)/12*0.3)</f>
        <v>1727</v>
      </c>
      <c r="M360" s="80">
        <f t="shared" ref="M360:M368" si="596">TRUNC(((E360+F360)/2)/12*0.3)</f>
        <v>1993</v>
      </c>
      <c r="N360" s="80">
        <f t="shared" ref="N360:N368" si="597">TRUNC(G360/12*0.3)</f>
        <v>2224</v>
      </c>
      <c r="O360" s="80">
        <f t="shared" ref="O360:O368" si="598">TRUNC(((H360+I360)/2)/12*0.3)</f>
        <v>2455</v>
      </c>
      <c r="P360" s="81"/>
      <c r="Q360" s="81"/>
      <c r="R360" s="81"/>
      <c r="S360" s="81"/>
      <c r="T360" s="81"/>
      <c r="U360" s="81"/>
      <c r="V360" s="81"/>
      <c r="W360" s="81"/>
      <c r="X360" s="81"/>
      <c r="Y360" s="81"/>
      <c r="Z360" s="81"/>
      <c r="AA360" s="81"/>
      <c r="AB360" s="81"/>
      <c r="AC360" s="81"/>
      <c r="AD360" s="81"/>
      <c r="AE360" s="81"/>
      <c r="AF360" s="81"/>
    </row>
    <row r="361" spans="1:32">
      <c r="A361" s="76" t="s">
        <v>1095</v>
      </c>
      <c r="B361" s="79">
        <f>B351*2*1.2</f>
        <v>58560</v>
      </c>
      <c r="C361" s="79">
        <f t="shared" ref="C361:I361" si="599">C351*2*1.2</f>
        <v>66960</v>
      </c>
      <c r="D361" s="79">
        <f t="shared" si="599"/>
        <v>75360</v>
      </c>
      <c r="E361" s="79">
        <f t="shared" si="599"/>
        <v>83640</v>
      </c>
      <c r="F361" s="79">
        <f t="shared" si="599"/>
        <v>90360</v>
      </c>
      <c r="G361" s="79">
        <f t="shared" si="599"/>
        <v>97080</v>
      </c>
      <c r="H361" s="79">
        <f t="shared" si="599"/>
        <v>103800</v>
      </c>
      <c r="I361" s="79">
        <f t="shared" si="599"/>
        <v>110520</v>
      </c>
      <c r="J361" s="80">
        <f t="shared" si="593"/>
        <v>1464</v>
      </c>
      <c r="K361" s="80">
        <f t="shared" si="594"/>
        <v>1569</v>
      </c>
      <c r="L361" s="80">
        <f t="shared" si="595"/>
        <v>1884</v>
      </c>
      <c r="M361" s="80">
        <f t="shared" si="596"/>
        <v>2175</v>
      </c>
      <c r="N361" s="80">
        <f t="shared" si="597"/>
        <v>2427</v>
      </c>
      <c r="O361" s="80">
        <f t="shared" si="598"/>
        <v>2679</v>
      </c>
      <c r="P361" s="81"/>
      <c r="Q361" s="81"/>
      <c r="R361" s="81"/>
      <c r="S361" s="81"/>
      <c r="T361" s="81"/>
      <c r="U361" s="81"/>
      <c r="V361" s="81"/>
      <c r="W361" s="81"/>
      <c r="X361" s="81"/>
      <c r="Y361" s="81"/>
      <c r="Z361" s="81"/>
      <c r="AA361" s="81"/>
      <c r="AB361" s="81"/>
      <c r="AC361" s="81"/>
      <c r="AD361" s="81"/>
      <c r="AE361" s="81"/>
      <c r="AF361" s="81"/>
    </row>
    <row r="362" spans="1:32">
      <c r="A362" s="76" t="s">
        <v>1096</v>
      </c>
      <c r="B362" s="79">
        <f>B369*2*0.15</f>
        <v>19185</v>
      </c>
      <c r="C362" s="79">
        <f>C369*2*0.15</f>
        <v>21930</v>
      </c>
      <c r="D362" s="79">
        <f>D369*2*0.15</f>
        <v>24675</v>
      </c>
      <c r="E362" s="79">
        <f>E369*2*0.15</f>
        <v>27405</v>
      </c>
      <c r="F362" s="79">
        <f>F369*2*0.15</f>
        <v>29610</v>
      </c>
      <c r="G362" s="79">
        <f t="shared" ref="G362:I362" si="600">G369*2*0.15</f>
        <v>31800</v>
      </c>
      <c r="H362" s="79">
        <f t="shared" si="600"/>
        <v>33990</v>
      </c>
      <c r="I362" s="79">
        <f t="shared" si="600"/>
        <v>36180</v>
      </c>
      <c r="J362" s="80">
        <f t="shared" si="593"/>
        <v>479</v>
      </c>
      <c r="K362" s="80">
        <f t="shared" si="594"/>
        <v>513</v>
      </c>
      <c r="L362" s="80">
        <f t="shared" si="595"/>
        <v>616</v>
      </c>
      <c r="M362" s="80">
        <f t="shared" si="596"/>
        <v>712</v>
      </c>
      <c r="N362" s="80">
        <f t="shared" si="597"/>
        <v>795</v>
      </c>
      <c r="O362" s="80">
        <f t="shared" si="598"/>
        <v>877</v>
      </c>
      <c r="P362" s="81"/>
      <c r="Q362" s="81"/>
      <c r="R362" s="81"/>
      <c r="S362" s="81"/>
      <c r="T362" s="81"/>
      <c r="U362" s="81"/>
      <c r="V362" s="81"/>
      <c r="W362" s="81"/>
      <c r="X362" s="81"/>
      <c r="Y362" s="81"/>
      <c r="Z362" s="81"/>
      <c r="AA362" s="81"/>
      <c r="AB362" s="81"/>
      <c r="AC362" s="81"/>
      <c r="AD362" s="81"/>
      <c r="AE362" s="81"/>
      <c r="AF362" s="81"/>
    </row>
    <row r="363" spans="1:32">
      <c r="A363" s="76" t="s">
        <v>1097</v>
      </c>
      <c r="B363" s="79">
        <f>B369*2*0.2</f>
        <v>25580</v>
      </c>
      <c r="C363" s="79">
        <f t="shared" ref="C363:I363" si="601">C369*2*0.2</f>
        <v>29240</v>
      </c>
      <c r="D363" s="79">
        <f t="shared" si="601"/>
        <v>32900</v>
      </c>
      <c r="E363" s="79">
        <f t="shared" si="601"/>
        <v>36540</v>
      </c>
      <c r="F363" s="79">
        <f t="shared" si="601"/>
        <v>39480</v>
      </c>
      <c r="G363" s="79">
        <f t="shared" si="601"/>
        <v>42400</v>
      </c>
      <c r="H363" s="79">
        <f t="shared" si="601"/>
        <v>45320</v>
      </c>
      <c r="I363" s="79">
        <f t="shared" si="601"/>
        <v>48240</v>
      </c>
      <c r="J363" s="80">
        <f t="shared" si="593"/>
        <v>639</v>
      </c>
      <c r="K363" s="80">
        <f t="shared" si="594"/>
        <v>685</v>
      </c>
      <c r="L363" s="80">
        <f t="shared" si="595"/>
        <v>822</v>
      </c>
      <c r="M363" s="80">
        <f t="shared" si="596"/>
        <v>950</v>
      </c>
      <c r="N363" s="80">
        <f t="shared" si="597"/>
        <v>1060</v>
      </c>
      <c r="O363" s="80">
        <f t="shared" si="598"/>
        <v>1169</v>
      </c>
      <c r="P363" s="81"/>
      <c r="Q363" s="81"/>
      <c r="R363" s="81"/>
      <c r="S363" s="81"/>
      <c r="T363" s="81"/>
      <c r="U363" s="81"/>
      <c r="V363" s="81"/>
      <c r="W363" s="81"/>
      <c r="X363" s="81"/>
      <c r="Y363" s="81"/>
      <c r="Z363" s="81"/>
      <c r="AA363" s="81"/>
      <c r="AB363" s="81"/>
      <c r="AC363" s="81"/>
      <c r="AD363" s="81"/>
      <c r="AE363" s="81"/>
      <c r="AF363" s="81"/>
    </row>
    <row r="364" spans="1:32">
      <c r="A364" s="76" t="s">
        <v>1098</v>
      </c>
      <c r="B364" s="79">
        <f>B369*2*0.25</f>
        <v>31975</v>
      </c>
      <c r="C364" s="79">
        <f t="shared" ref="C364:I364" si="602">C369*2*0.25</f>
        <v>36550</v>
      </c>
      <c r="D364" s="79">
        <f t="shared" si="602"/>
        <v>41125</v>
      </c>
      <c r="E364" s="79">
        <f t="shared" si="602"/>
        <v>45675</v>
      </c>
      <c r="F364" s="79">
        <f t="shared" si="602"/>
        <v>49350</v>
      </c>
      <c r="G364" s="79">
        <f t="shared" si="602"/>
        <v>53000</v>
      </c>
      <c r="H364" s="79">
        <f t="shared" si="602"/>
        <v>56650</v>
      </c>
      <c r="I364" s="79">
        <f t="shared" si="602"/>
        <v>60300</v>
      </c>
      <c r="J364" s="80">
        <f t="shared" si="593"/>
        <v>799</v>
      </c>
      <c r="K364" s="80">
        <f t="shared" si="594"/>
        <v>856</v>
      </c>
      <c r="L364" s="80">
        <f t="shared" si="595"/>
        <v>1028</v>
      </c>
      <c r="M364" s="80">
        <f t="shared" si="596"/>
        <v>1187</v>
      </c>
      <c r="N364" s="80">
        <f t="shared" si="597"/>
        <v>1325</v>
      </c>
      <c r="O364" s="80">
        <f t="shared" si="598"/>
        <v>1461</v>
      </c>
      <c r="P364" s="81"/>
      <c r="Q364" s="81"/>
      <c r="R364" s="81"/>
      <c r="S364" s="81"/>
      <c r="T364" s="81"/>
      <c r="U364" s="81"/>
      <c r="V364" s="81"/>
      <c r="W364" s="81"/>
      <c r="X364" s="81"/>
      <c r="Y364" s="81"/>
      <c r="Z364" s="81"/>
      <c r="AA364" s="81"/>
      <c r="AB364" s="81"/>
      <c r="AC364" s="81"/>
      <c r="AD364" s="81"/>
      <c r="AE364" s="81"/>
      <c r="AF364" s="81"/>
    </row>
    <row r="365" spans="1:32">
      <c r="A365" s="76" t="s">
        <v>1099</v>
      </c>
      <c r="B365" s="79">
        <f>B369*2*0.3</f>
        <v>38370</v>
      </c>
      <c r="C365" s="79">
        <f t="shared" ref="C365:I365" si="603">C369*2*0.3</f>
        <v>43860</v>
      </c>
      <c r="D365" s="79">
        <f t="shared" si="603"/>
        <v>49350</v>
      </c>
      <c r="E365" s="79">
        <f t="shared" si="603"/>
        <v>54810</v>
      </c>
      <c r="F365" s="79">
        <f t="shared" si="603"/>
        <v>59220</v>
      </c>
      <c r="G365" s="79">
        <f t="shared" si="603"/>
        <v>63600</v>
      </c>
      <c r="H365" s="79">
        <f t="shared" si="603"/>
        <v>67980</v>
      </c>
      <c r="I365" s="79">
        <f t="shared" si="603"/>
        <v>72360</v>
      </c>
      <c r="J365" s="80">
        <f t="shared" si="593"/>
        <v>959</v>
      </c>
      <c r="K365" s="80">
        <f t="shared" si="594"/>
        <v>1027</v>
      </c>
      <c r="L365" s="80">
        <f t="shared" si="595"/>
        <v>1233</v>
      </c>
      <c r="M365" s="80">
        <f t="shared" si="596"/>
        <v>1425</v>
      </c>
      <c r="N365" s="80">
        <f t="shared" si="597"/>
        <v>1590</v>
      </c>
      <c r="O365" s="80">
        <f t="shared" si="598"/>
        <v>1754</v>
      </c>
      <c r="P365" s="81"/>
      <c r="Q365" s="81"/>
      <c r="R365" s="81"/>
      <c r="S365" s="81"/>
      <c r="T365" s="81"/>
      <c r="U365" s="81"/>
      <c r="V365" s="81"/>
      <c r="W365" s="81"/>
      <c r="X365" s="81"/>
      <c r="Y365" s="81"/>
      <c r="Z365" s="81"/>
      <c r="AA365" s="81"/>
      <c r="AB365" s="81"/>
      <c r="AC365" s="81"/>
      <c r="AD365" s="81"/>
      <c r="AE365" s="81"/>
      <c r="AF365" s="81"/>
    </row>
    <row r="366" spans="1:32">
      <c r="A366" s="76" t="s">
        <v>1100</v>
      </c>
      <c r="B366" s="79">
        <f>B369*2*0.35</f>
        <v>44765</v>
      </c>
      <c r="C366" s="79">
        <f t="shared" ref="C366:I366" si="604">C369*2*0.35</f>
        <v>51170</v>
      </c>
      <c r="D366" s="79">
        <f t="shared" si="604"/>
        <v>57574.999999999993</v>
      </c>
      <c r="E366" s="79">
        <f t="shared" si="604"/>
        <v>63944.999999999993</v>
      </c>
      <c r="F366" s="79">
        <f t="shared" si="604"/>
        <v>69090</v>
      </c>
      <c r="G366" s="79">
        <f t="shared" si="604"/>
        <v>74200</v>
      </c>
      <c r="H366" s="79">
        <f t="shared" si="604"/>
        <v>79310</v>
      </c>
      <c r="I366" s="79">
        <f t="shared" si="604"/>
        <v>84420</v>
      </c>
      <c r="J366" s="80">
        <f t="shared" si="593"/>
        <v>1119</v>
      </c>
      <c r="K366" s="80">
        <f t="shared" si="594"/>
        <v>1199</v>
      </c>
      <c r="L366" s="80">
        <f t="shared" si="595"/>
        <v>1439</v>
      </c>
      <c r="M366" s="80">
        <f t="shared" si="596"/>
        <v>1662</v>
      </c>
      <c r="N366" s="80">
        <f t="shared" si="597"/>
        <v>1855</v>
      </c>
      <c r="O366" s="80">
        <f t="shared" si="598"/>
        <v>2046</v>
      </c>
      <c r="P366" s="81"/>
      <c r="Q366" s="81"/>
      <c r="R366" s="81"/>
      <c r="S366" s="81"/>
      <c r="T366" s="81"/>
      <c r="U366" s="81"/>
      <c r="V366" s="81"/>
      <c r="W366" s="81"/>
      <c r="X366" s="81"/>
      <c r="Y366" s="81"/>
      <c r="Z366" s="81"/>
      <c r="AA366" s="81"/>
      <c r="AB366" s="81"/>
      <c r="AC366" s="81"/>
      <c r="AD366" s="81"/>
      <c r="AE366" s="81"/>
      <c r="AF366" s="81"/>
    </row>
    <row r="367" spans="1:32">
      <c r="A367" s="76" t="s">
        <v>1101</v>
      </c>
      <c r="B367" s="79">
        <f>B369*2*0.4</f>
        <v>51160</v>
      </c>
      <c r="C367" s="79">
        <f t="shared" ref="C367:I367" si="605">C369*2*0.4</f>
        <v>58480</v>
      </c>
      <c r="D367" s="79">
        <f t="shared" si="605"/>
        <v>65800</v>
      </c>
      <c r="E367" s="79">
        <f t="shared" si="605"/>
        <v>73080</v>
      </c>
      <c r="F367" s="79">
        <f t="shared" si="605"/>
        <v>78960</v>
      </c>
      <c r="G367" s="79">
        <f t="shared" si="605"/>
        <v>84800</v>
      </c>
      <c r="H367" s="79">
        <f t="shared" si="605"/>
        <v>90640</v>
      </c>
      <c r="I367" s="79">
        <f t="shared" si="605"/>
        <v>96480</v>
      </c>
      <c r="J367" s="80">
        <f t="shared" si="593"/>
        <v>1279</v>
      </c>
      <c r="K367" s="80">
        <f t="shared" si="594"/>
        <v>1370</v>
      </c>
      <c r="L367" s="80">
        <f t="shared" si="595"/>
        <v>1645</v>
      </c>
      <c r="M367" s="80">
        <f t="shared" si="596"/>
        <v>1900</v>
      </c>
      <c r="N367" s="80">
        <f t="shared" si="597"/>
        <v>2120</v>
      </c>
      <c r="O367" s="80">
        <f t="shared" si="598"/>
        <v>2339</v>
      </c>
      <c r="P367" s="81"/>
      <c r="Q367" s="81"/>
      <c r="R367" s="81"/>
      <c r="S367" s="81"/>
      <c r="T367" s="81"/>
      <c r="U367" s="81"/>
      <c r="V367" s="81"/>
      <c r="W367" s="81"/>
      <c r="X367" s="81"/>
      <c r="Y367" s="81"/>
      <c r="Z367" s="81"/>
      <c r="AA367" s="81"/>
      <c r="AB367" s="81"/>
      <c r="AC367" s="81"/>
      <c r="AD367" s="81"/>
      <c r="AE367" s="81"/>
      <c r="AF367" s="81"/>
    </row>
    <row r="368" spans="1:32">
      <c r="A368" s="76" t="s">
        <v>1102</v>
      </c>
      <c r="B368" s="79">
        <f>B369*2*0.45</f>
        <v>57555</v>
      </c>
      <c r="C368" s="79">
        <f t="shared" ref="C368:I368" si="606">C369*2*0.45</f>
        <v>65790</v>
      </c>
      <c r="D368" s="79">
        <f t="shared" si="606"/>
        <v>74025</v>
      </c>
      <c r="E368" s="79">
        <f t="shared" si="606"/>
        <v>82215</v>
      </c>
      <c r="F368" s="79">
        <f t="shared" si="606"/>
        <v>88830</v>
      </c>
      <c r="G368" s="79">
        <f t="shared" si="606"/>
        <v>95400</v>
      </c>
      <c r="H368" s="79">
        <f t="shared" si="606"/>
        <v>101970</v>
      </c>
      <c r="I368" s="79">
        <f t="shared" si="606"/>
        <v>108540</v>
      </c>
      <c r="J368" s="80">
        <f t="shared" si="593"/>
        <v>1438</v>
      </c>
      <c r="K368" s="80">
        <f t="shared" si="594"/>
        <v>1541</v>
      </c>
      <c r="L368" s="80">
        <f t="shared" si="595"/>
        <v>1850</v>
      </c>
      <c r="M368" s="80">
        <f t="shared" si="596"/>
        <v>2138</v>
      </c>
      <c r="N368" s="80">
        <f t="shared" si="597"/>
        <v>2385</v>
      </c>
      <c r="O368" s="80">
        <f t="shared" si="598"/>
        <v>2631</v>
      </c>
      <c r="P368" s="81"/>
      <c r="Q368" s="81"/>
      <c r="R368" s="81"/>
      <c r="S368" s="81"/>
      <c r="T368" s="81"/>
      <c r="U368" s="81"/>
      <c r="V368" s="81"/>
      <c r="W368" s="81"/>
      <c r="X368" s="81"/>
      <c r="Y368" s="81"/>
      <c r="Z368" s="81"/>
      <c r="AA368" s="81"/>
      <c r="AB368" s="81"/>
      <c r="AC368" s="81"/>
      <c r="AD368" s="81"/>
      <c r="AE368" s="81"/>
      <c r="AF368" s="81"/>
    </row>
    <row r="369" spans="1:32">
      <c r="A369" s="82" t="s">
        <v>1103</v>
      </c>
      <c r="B369" s="84">
        <f>'MTSP 50% Income Limits '!B22</f>
        <v>63950</v>
      </c>
      <c r="C369" s="84">
        <f>'MTSP 50% Income Limits '!C22</f>
        <v>73100</v>
      </c>
      <c r="D369" s="84">
        <f>'MTSP 50% Income Limits '!D22</f>
        <v>82250</v>
      </c>
      <c r="E369" s="84">
        <f>'MTSP 50% Income Limits '!E22</f>
        <v>91350</v>
      </c>
      <c r="F369" s="84">
        <f>'MTSP 50% Income Limits '!F22</f>
        <v>98700</v>
      </c>
      <c r="G369" s="84">
        <f>'MTSP 50% Income Limits '!G22</f>
        <v>106000</v>
      </c>
      <c r="H369" s="84">
        <f>'MTSP 50% Income Limits '!H22</f>
        <v>113300</v>
      </c>
      <c r="I369" s="84">
        <f>'MTSP 50% Income Limits '!I22</f>
        <v>120600</v>
      </c>
      <c r="J369" s="83">
        <f>TRUNC(B369/12*0.3)</f>
        <v>1598</v>
      </c>
      <c r="K369" s="83">
        <f>TRUNC((B369+C369)/2/12*0.3)</f>
        <v>1713</v>
      </c>
      <c r="L369" s="83">
        <f>TRUNC((D369)/12*0.3)</f>
        <v>2056</v>
      </c>
      <c r="M369" s="83">
        <f>TRUNC(((E369+F369)/2)/12*0.3)</f>
        <v>2375</v>
      </c>
      <c r="N369" s="83">
        <f>TRUNC(G369/12*0.3)</f>
        <v>2650</v>
      </c>
      <c r="O369" s="83">
        <f>TRUNC(((H369+I369)/2)/12*0.3)</f>
        <v>2923</v>
      </c>
      <c r="P369" s="81"/>
      <c r="Q369" s="81"/>
      <c r="R369" s="81"/>
      <c r="S369" s="81"/>
      <c r="T369" s="81"/>
      <c r="U369" s="81"/>
      <c r="V369" s="81"/>
      <c r="W369" s="81"/>
      <c r="X369" s="81"/>
      <c r="Y369" s="81"/>
      <c r="Z369" s="81"/>
      <c r="AA369" s="81"/>
      <c r="AB369" s="81"/>
      <c r="AC369" s="81"/>
      <c r="AD369" s="81"/>
      <c r="AE369" s="81"/>
      <c r="AF369" s="81"/>
    </row>
    <row r="370" spans="1:32">
      <c r="A370" s="76" t="s">
        <v>1104</v>
      </c>
      <c r="B370" s="79">
        <f>B369*2*0.55</f>
        <v>70345</v>
      </c>
      <c r="C370" s="79">
        <f t="shared" ref="C370:I370" si="607">C369*2*0.55</f>
        <v>80410</v>
      </c>
      <c r="D370" s="79">
        <f t="shared" si="607"/>
        <v>90475.000000000015</v>
      </c>
      <c r="E370" s="79">
        <f t="shared" si="607"/>
        <v>100485.00000000001</v>
      </c>
      <c r="F370" s="79">
        <f t="shared" si="607"/>
        <v>108570.00000000001</v>
      </c>
      <c r="G370" s="79">
        <f t="shared" si="607"/>
        <v>116600.00000000001</v>
      </c>
      <c r="H370" s="79">
        <f t="shared" si="607"/>
        <v>124630.00000000001</v>
      </c>
      <c r="I370" s="79">
        <f t="shared" si="607"/>
        <v>132660</v>
      </c>
      <c r="J370" s="80">
        <f t="shared" ref="J370:J376" si="608">TRUNC(B370/12*0.3)</f>
        <v>1758</v>
      </c>
      <c r="K370" s="80">
        <f t="shared" ref="K370:K376" si="609">TRUNC((B370+C370)/2/12*0.3)</f>
        <v>1884</v>
      </c>
      <c r="L370" s="80">
        <f t="shared" ref="L370:L376" si="610">TRUNC((D370)/12*0.3)</f>
        <v>2261</v>
      </c>
      <c r="M370" s="80">
        <f t="shared" ref="M370:M376" si="611">TRUNC(((E370+F370)/2)/12*0.3)</f>
        <v>2613</v>
      </c>
      <c r="N370" s="80">
        <f t="shared" ref="N370:N376" si="612">TRUNC(G370/12*0.3)</f>
        <v>2915</v>
      </c>
      <c r="O370" s="80">
        <f t="shared" ref="O370:O376" si="613">TRUNC(((H370+I370)/2)/12*0.3)</f>
        <v>3216</v>
      </c>
      <c r="P370" s="81"/>
      <c r="Q370" s="81"/>
      <c r="R370" s="81"/>
      <c r="S370" s="81"/>
      <c r="T370" s="81"/>
      <c r="U370" s="81"/>
      <c r="V370" s="81"/>
      <c r="W370" s="81"/>
      <c r="X370" s="81"/>
      <c r="Y370" s="81"/>
      <c r="Z370" s="81"/>
      <c r="AA370" s="81"/>
      <c r="AB370" s="81"/>
      <c r="AC370" s="81"/>
      <c r="AD370" s="81"/>
      <c r="AE370" s="81"/>
      <c r="AF370" s="81"/>
    </row>
    <row r="371" spans="1:32">
      <c r="A371" s="76" t="s">
        <v>1105</v>
      </c>
      <c r="B371" s="79">
        <f>B369*2*0.6</f>
        <v>76740</v>
      </c>
      <c r="C371" s="79">
        <f t="shared" ref="C371:I371" si="614">C369*2*0.6</f>
        <v>87720</v>
      </c>
      <c r="D371" s="79">
        <f t="shared" si="614"/>
        <v>98700</v>
      </c>
      <c r="E371" s="79">
        <f t="shared" si="614"/>
        <v>109620</v>
      </c>
      <c r="F371" s="79">
        <f t="shared" si="614"/>
        <v>118440</v>
      </c>
      <c r="G371" s="79">
        <f t="shared" si="614"/>
        <v>127200</v>
      </c>
      <c r="H371" s="79">
        <f t="shared" si="614"/>
        <v>135960</v>
      </c>
      <c r="I371" s="79">
        <f t="shared" si="614"/>
        <v>144720</v>
      </c>
      <c r="J371" s="80">
        <f t="shared" si="608"/>
        <v>1918</v>
      </c>
      <c r="K371" s="80">
        <f t="shared" si="609"/>
        <v>2055</v>
      </c>
      <c r="L371" s="80">
        <f t="shared" si="610"/>
        <v>2467</v>
      </c>
      <c r="M371" s="80">
        <f t="shared" si="611"/>
        <v>2850</v>
      </c>
      <c r="N371" s="80">
        <f t="shared" si="612"/>
        <v>3180</v>
      </c>
      <c r="O371" s="80">
        <f t="shared" si="613"/>
        <v>3508</v>
      </c>
      <c r="P371" s="81"/>
      <c r="Q371" s="81"/>
      <c r="R371" s="81"/>
      <c r="S371" s="81"/>
      <c r="T371" s="81"/>
      <c r="U371" s="81"/>
      <c r="V371" s="81"/>
      <c r="W371" s="81"/>
      <c r="X371" s="81"/>
      <c r="Y371" s="81"/>
      <c r="Z371" s="81"/>
      <c r="AA371" s="81"/>
      <c r="AB371" s="81"/>
      <c r="AC371" s="81"/>
      <c r="AD371" s="81"/>
      <c r="AE371" s="81"/>
      <c r="AF371" s="81"/>
    </row>
    <row r="372" spans="1:32">
      <c r="A372" s="76" t="s">
        <v>1106</v>
      </c>
      <c r="B372" s="79">
        <f>B369*2*0.65</f>
        <v>83135</v>
      </c>
      <c r="C372" s="79">
        <f t="shared" ref="C372:I372" si="615">C369*2*0.65</f>
        <v>95030</v>
      </c>
      <c r="D372" s="79">
        <f t="shared" si="615"/>
        <v>106925</v>
      </c>
      <c r="E372" s="79">
        <f t="shared" si="615"/>
        <v>118755</v>
      </c>
      <c r="F372" s="79">
        <f t="shared" si="615"/>
        <v>128310</v>
      </c>
      <c r="G372" s="79">
        <f t="shared" si="615"/>
        <v>137800</v>
      </c>
      <c r="H372" s="79">
        <f t="shared" si="615"/>
        <v>147290</v>
      </c>
      <c r="I372" s="79">
        <f t="shared" si="615"/>
        <v>156780</v>
      </c>
      <c r="J372" s="80">
        <f t="shared" si="608"/>
        <v>2078</v>
      </c>
      <c r="K372" s="80">
        <f t="shared" si="609"/>
        <v>2227</v>
      </c>
      <c r="L372" s="80">
        <f t="shared" si="610"/>
        <v>2673</v>
      </c>
      <c r="M372" s="80">
        <f t="shared" si="611"/>
        <v>3088</v>
      </c>
      <c r="N372" s="80">
        <f t="shared" si="612"/>
        <v>3445</v>
      </c>
      <c r="O372" s="80">
        <f t="shared" si="613"/>
        <v>3800</v>
      </c>
      <c r="P372" s="81"/>
      <c r="Q372" s="81"/>
      <c r="R372" s="81"/>
      <c r="S372" s="81"/>
      <c r="T372" s="81"/>
      <c r="U372" s="81"/>
      <c r="V372" s="81"/>
      <c r="W372" s="81"/>
      <c r="X372" s="81"/>
      <c r="Y372" s="81"/>
      <c r="Z372" s="81"/>
      <c r="AA372" s="81"/>
      <c r="AB372" s="81"/>
      <c r="AC372" s="81"/>
      <c r="AD372" s="81"/>
      <c r="AE372" s="81"/>
      <c r="AF372" s="81"/>
    </row>
    <row r="373" spans="1:32">
      <c r="A373" s="76" t="s">
        <v>1107</v>
      </c>
      <c r="B373" s="79">
        <f>B369*2*0.7</f>
        <v>89530</v>
      </c>
      <c r="C373" s="79">
        <f t="shared" ref="C373:I373" si="616">C369*2*0.7</f>
        <v>102340</v>
      </c>
      <c r="D373" s="79">
        <f t="shared" si="616"/>
        <v>115149.99999999999</v>
      </c>
      <c r="E373" s="79">
        <f t="shared" si="616"/>
        <v>127889.99999999999</v>
      </c>
      <c r="F373" s="79">
        <f t="shared" si="616"/>
        <v>138180</v>
      </c>
      <c r="G373" s="79">
        <f t="shared" si="616"/>
        <v>148400</v>
      </c>
      <c r="H373" s="79">
        <f t="shared" si="616"/>
        <v>158620</v>
      </c>
      <c r="I373" s="79">
        <f t="shared" si="616"/>
        <v>168840</v>
      </c>
      <c r="J373" s="80">
        <f t="shared" si="608"/>
        <v>2238</v>
      </c>
      <c r="K373" s="80">
        <f t="shared" si="609"/>
        <v>2398</v>
      </c>
      <c r="L373" s="80">
        <f t="shared" si="610"/>
        <v>2878</v>
      </c>
      <c r="M373" s="80">
        <f t="shared" si="611"/>
        <v>3325</v>
      </c>
      <c r="N373" s="80">
        <f t="shared" si="612"/>
        <v>3710</v>
      </c>
      <c r="O373" s="80">
        <f t="shared" si="613"/>
        <v>4093</v>
      </c>
      <c r="P373" s="81"/>
      <c r="Q373" s="81"/>
      <c r="R373" s="81"/>
      <c r="S373" s="81"/>
      <c r="T373" s="81"/>
      <c r="U373" s="81"/>
      <c r="V373" s="81"/>
      <c r="W373" s="81"/>
      <c r="X373" s="81"/>
      <c r="Y373" s="81"/>
      <c r="Z373" s="81"/>
      <c r="AA373" s="81"/>
      <c r="AB373" s="81"/>
      <c r="AC373" s="81"/>
      <c r="AD373" s="81"/>
      <c r="AE373" s="81"/>
      <c r="AF373" s="81"/>
    </row>
    <row r="374" spans="1:32">
      <c r="A374" s="76" t="s">
        <v>1108</v>
      </c>
      <c r="B374" s="79">
        <f>B369*2*0.75</f>
        <v>95925</v>
      </c>
      <c r="C374" s="79">
        <f t="shared" ref="C374:I374" si="617">C369*2*0.75</f>
        <v>109650</v>
      </c>
      <c r="D374" s="79">
        <f t="shared" si="617"/>
        <v>123375</v>
      </c>
      <c r="E374" s="79">
        <f t="shared" si="617"/>
        <v>137025</v>
      </c>
      <c r="F374" s="79">
        <f t="shared" si="617"/>
        <v>148050</v>
      </c>
      <c r="G374" s="79">
        <f t="shared" si="617"/>
        <v>159000</v>
      </c>
      <c r="H374" s="79">
        <f t="shared" si="617"/>
        <v>169950</v>
      </c>
      <c r="I374" s="79">
        <f t="shared" si="617"/>
        <v>180900</v>
      </c>
      <c r="J374" s="80">
        <f t="shared" si="608"/>
        <v>2398</v>
      </c>
      <c r="K374" s="80">
        <f t="shared" si="609"/>
        <v>2569</v>
      </c>
      <c r="L374" s="80">
        <f t="shared" si="610"/>
        <v>3084</v>
      </c>
      <c r="M374" s="80">
        <f t="shared" si="611"/>
        <v>3563</v>
      </c>
      <c r="N374" s="80">
        <f t="shared" si="612"/>
        <v>3975</v>
      </c>
      <c r="O374" s="80">
        <f t="shared" si="613"/>
        <v>4385</v>
      </c>
      <c r="P374" s="81"/>
      <c r="Q374" s="81"/>
      <c r="R374" s="81"/>
      <c r="S374" s="81"/>
      <c r="T374" s="81"/>
      <c r="U374" s="81"/>
      <c r="V374" s="81"/>
      <c r="W374" s="81"/>
      <c r="X374" s="81"/>
      <c r="Y374" s="81"/>
      <c r="Z374" s="81"/>
      <c r="AA374" s="81"/>
      <c r="AB374" s="81"/>
      <c r="AC374" s="81"/>
      <c r="AD374" s="81"/>
      <c r="AE374" s="81"/>
      <c r="AF374" s="81"/>
    </row>
    <row r="375" spans="1:32">
      <c r="A375" s="76" t="s">
        <v>1109</v>
      </c>
      <c r="B375" s="79">
        <f>B369*2*0.8</f>
        <v>102320</v>
      </c>
      <c r="C375" s="79">
        <f t="shared" ref="C375:I375" si="618">C369*2*0.8</f>
        <v>116960</v>
      </c>
      <c r="D375" s="79">
        <f t="shared" si="618"/>
        <v>131600</v>
      </c>
      <c r="E375" s="79">
        <f t="shared" si="618"/>
        <v>146160</v>
      </c>
      <c r="F375" s="79">
        <f t="shared" si="618"/>
        <v>157920</v>
      </c>
      <c r="G375" s="79">
        <f t="shared" si="618"/>
        <v>169600</v>
      </c>
      <c r="H375" s="79">
        <f t="shared" si="618"/>
        <v>181280</v>
      </c>
      <c r="I375" s="79">
        <f t="shared" si="618"/>
        <v>192960</v>
      </c>
      <c r="J375" s="80">
        <f t="shared" si="608"/>
        <v>2558</v>
      </c>
      <c r="K375" s="80">
        <f t="shared" si="609"/>
        <v>2741</v>
      </c>
      <c r="L375" s="80">
        <f t="shared" si="610"/>
        <v>3290</v>
      </c>
      <c r="M375" s="80">
        <f t="shared" si="611"/>
        <v>3801</v>
      </c>
      <c r="N375" s="80">
        <f t="shared" si="612"/>
        <v>4240</v>
      </c>
      <c r="O375" s="80">
        <f t="shared" si="613"/>
        <v>4678</v>
      </c>
      <c r="P375" s="81"/>
      <c r="Q375" s="81"/>
      <c r="R375" s="81"/>
      <c r="S375" s="81"/>
      <c r="T375" s="81"/>
      <c r="U375" s="81"/>
      <c r="V375" s="81"/>
      <c r="W375" s="81"/>
      <c r="X375" s="81"/>
      <c r="Y375" s="81"/>
      <c r="Z375" s="81"/>
      <c r="AA375" s="81"/>
      <c r="AB375" s="81"/>
      <c r="AC375" s="81"/>
      <c r="AD375" s="81"/>
      <c r="AE375" s="81"/>
      <c r="AF375" s="81"/>
    </row>
    <row r="376" spans="1:32">
      <c r="A376" s="76" t="s">
        <v>1110</v>
      </c>
      <c r="B376" s="79">
        <f>B369*2*0.9</f>
        <v>115110</v>
      </c>
      <c r="C376" s="79">
        <f t="shared" ref="C376:I376" si="619">C369*2*0.9</f>
        <v>131580</v>
      </c>
      <c r="D376" s="79">
        <f t="shared" si="619"/>
        <v>148050</v>
      </c>
      <c r="E376" s="79">
        <f t="shared" si="619"/>
        <v>164430</v>
      </c>
      <c r="F376" s="79">
        <f t="shared" si="619"/>
        <v>177660</v>
      </c>
      <c r="G376" s="79">
        <f t="shared" si="619"/>
        <v>190800</v>
      </c>
      <c r="H376" s="79">
        <f t="shared" si="619"/>
        <v>203940</v>
      </c>
      <c r="I376" s="79">
        <f t="shared" si="619"/>
        <v>217080</v>
      </c>
      <c r="J376" s="80">
        <f t="shared" si="608"/>
        <v>2877</v>
      </c>
      <c r="K376" s="80">
        <f t="shared" si="609"/>
        <v>3083</v>
      </c>
      <c r="L376" s="80">
        <f t="shared" si="610"/>
        <v>3701</v>
      </c>
      <c r="M376" s="80">
        <f t="shared" si="611"/>
        <v>4276</v>
      </c>
      <c r="N376" s="80">
        <f t="shared" si="612"/>
        <v>4770</v>
      </c>
      <c r="O376" s="80">
        <f t="shared" si="613"/>
        <v>5262</v>
      </c>
      <c r="P376" s="81"/>
      <c r="Q376" s="81"/>
      <c r="R376" s="81"/>
      <c r="S376" s="81"/>
      <c r="T376" s="81"/>
      <c r="U376" s="81"/>
      <c r="V376" s="81"/>
      <c r="W376" s="81"/>
      <c r="X376" s="81"/>
      <c r="Y376" s="81"/>
      <c r="Z376" s="81"/>
      <c r="AA376" s="81"/>
      <c r="AB376" s="81"/>
      <c r="AC376" s="81"/>
      <c r="AD376" s="81"/>
      <c r="AE376" s="81"/>
      <c r="AF376" s="81"/>
    </row>
    <row r="377" spans="1:32">
      <c r="A377" s="76" t="s">
        <v>1111</v>
      </c>
      <c r="B377" s="79">
        <f>B369*2</f>
        <v>127900</v>
      </c>
      <c r="C377" s="79">
        <f t="shared" ref="C377:I377" si="620">C369*2</f>
        <v>146200</v>
      </c>
      <c r="D377" s="79">
        <f t="shared" si="620"/>
        <v>164500</v>
      </c>
      <c r="E377" s="79">
        <f t="shared" si="620"/>
        <v>182700</v>
      </c>
      <c r="F377" s="79">
        <f t="shared" si="620"/>
        <v>197400</v>
      </c>
      <c r="G377" s="79">
        <f t="shared" si="620"/>
        <v>212000</v>
      </c>
      <c r="H377" s="79">
        <f t="shared" si="620"/>
        <v>226600</v>
      </c>
      <c r="I377" s="79">
        <f t="shared" si="620"/>
        <v>241200</v>
      </c>
      <c r="J377" s="80">
        <f>J369*2</f>
        <v>3196</v>
      </c>
      <c r="K377" s="80">
        <f t="shared" ref="K377:O377" si="621">K369*2</f>
        <v>3426</v>
      </c>
      <c r="L377" s="80">
        <f t="shared" si="621"/>
        <v>4112</v>
      </c>
      <c r="M377" s="80">
        <f t="shared" si="621"/>
        <v>4750</v>
      </c>
      <c r="N377" s="80">
        <f t="shared" si="621"/>
        <v>5300</v>
      </c>
      <c r="O377" s="80">
        <f t="shared" si="621"/>
        <v>5846</v>
      </c>
      <c r="P377" s="81"/>
      <c r="Q377" s="81"/>
      <c r="R377" s="81"/>
      <c r="S377" s="81"/>
      <c r="T377" s="81"/>
      <c r="U377" s="81"/>
      <c r="V377" s="81"/>
      <c r="W377" s="81"/>
      <c r="X377" s="81"/>
      <c r="Y377" s="81"/>
      <c r="Z377" s="81"/>
      <c r="AA377" s="81"/>
      <c r="AB377" s="81"/>
      <c r="AC377" s="81"/>
      <c r="AD377" s="81"/>
      <c r="AE377" s="81"/>
      <c r="AF377" s="81"/>
    </row>
    <row r="378" spans="1:32">
      <c r="A378" s="76" t="s">
        <v>1112</v>
      </c>
      <c r="B378" s="79">
        <f>B369*2*1.1</f>
        <v>140690</v>
      </c>
      <c r="C378" s="79">
        <f t="shared" ref="C378:I378" si="622">C369*2*1.1</f>
        <v>160820</v>
      </c>
      <c r="D378" s="79">
        <f t="shared" si="622"/>
        <v>180950.00000000003</v>
      </c>
      <c r="E378" s="79">
        <f t="shared" si="622"/>
        <v>200970.00000000003</v>
      </c>
      <c r="F378" s="79">
        <f t="shared" si="622"/>
        <v>217140.00000000003</v>
      </c>
      <c r="G378" s="79">
        <f t="shared" si="622"/>
        <v>233200.00000000003</v>
      </c>
      <c r="H378" s="79">
        <f t="shared" si="622"/>
        <v>249260.00000000003</v>
      </c>
      <c r="I378" s="79">
        <f t="shared" si="622"/>
        <v>265320</v>
      </c>
      <c r="J378" s="80">
        <f t="shared" ref="J378:J386" si="623">TRUNC(B378/12*0.3)</f>
        <v>3517</v>
      </c>
      <c r="K378" s="80">
        <f t="shared" ref="K378:K386" si="624">TRUNC((B378+C378)/2/12*0.3)</f>
        <v>3768</v>
      </c>
      <c r="L378" s="80">
        <f t="shared" ref="L378:L386" si="625">TRUNC((D378)/12*0.3)</f>
        <v>4523</v>
      </c>
      <c r="M378" s="80">
        <f t="shared" ref="M378:M386" si="626">TRUNC(((E378+F378)/2)/12*0.3)</f>
        <v>5226</v>
      </c>
      <c r="N378" s="80">
        <f t="shared" ref="N378:N386" si="627">TRUNC(G378/12*0.3)</f>
        <v>5830</v>
      </c>
      <c r="O378" s="80">
        <f t="shared" ref="O378:O386" si="628">TRUNC(((H378+I378)/2)/12*0.3)</f>
        <v>6432</v>
      </c>
      <c r="P378" s="81"/>
      <c r="Q378" s="81"/>
      <c r="R378" s="81"/>
      <c r="S378" s="81"/>
      <c r="T378" s="81"/>
      <c r="U378" s="81"/>
      <c r="V378" s="81"/>
      <c r="W378" s="81"/>
      <c r="X378" s="81"/>
      <c r="Y378" s="81"/>
      <c r="Z378" s="81"/>
      <c r="AA378" s="81"/>
      <c r="AB378" s="81"/>
      <c r="AC378" s="81"/>
      <c r="AD378" s="81"/>
      <c r="AE378" s="81"/>
      <c r="AF378" s="81"/>
    </row>
    <row r="379" spans="1:32">
      <c r="A379" s="76" t="s">
        <v>1113</v>
      </c>
      <c r="B379" s="79">
        <f>B369*2*1.2</f>
        <v>153480</v>
      </c>
      <c r="C379" s="79">
        <f t="shared" ref="C379:I379" si="629">C369*2*1.2</f>
        <v>175440</v>
      </c>
      <c r="D379" s="79">
        <f t="shared" si="629"/>
        <v>197400</v>
      </c>
      <c r="E379" s="79">
        <f t="shared" si="629"/>
        <v>219240</v>
      </c>
      <c r="F379" s="79">
        <f t="shared" si="629"/>
        <v>236880</v>
      </c>
      <c r="G379" s="79">
        <f t="shared" si="629"/>
        <v>254400</v>
      </c>
      <c r="H379" s="79">
        <f t="shared" si="629"/>
        <v>271920</v>
      </c>
      <c r="I379" s="79">
        <f t="shared" si="629"/>
        <v>289440</v>
      </c>
      <c r="J379" s="80">
        <f t="shared" si="623"/>
        <v>3837</v>
      </c>
      <c r="K379" s="80">
        <f t="shared" si="624"/>
        <v>4111</v>
      </c>
      <c r="L379" s="80">
        <f t="shared" si="625"/>
        <v>4935</v>
      </c>
      <c r="M379" s="80">
        <f t="shared" si="626"/>
        <v>5701</v>
      </c>
      <c r="N379" s="80">
        <f t="shared" si="627"/>
        <v>6360</v>
      </c>
      <c r="O379" s="80">
        <f t="shared" si="628"/>
        <v>7017</v>
      </c>
      <c r="P379" s="81"/>
      <c r="Q379" s="81"/>
      <c r="R379" s="81"/>
      <c r="S379" s="81"/>
      <c r="T379" s="81"/>
      <c r="U379" s="81"/>
      <c r="V379" s="81"/>
      <c r="W379" s="81"/>
      <c r="X379" s="81"/>
      <c r="Y379" s="81"/>
      <c r="Z379" s="81"/>
      <c r="AA379" s="81"/>
      <c r="AB379" s="81"/>
      <c r="AC379" s="81"/>
      <c r="AD379" s="81"/>
      <c r="AE379" s="81"/>
      <c r="AF379" s="81"/>
    </row>
    <row r="380" spans="1:32">
      <c r="A380" s="76" t="s">
        <v>1114</v>
      </c>
      <c r="B380" s="79">
        <f>B387*2*0.15</f>
        <v>7320</v>
      </c>
      <c r="C380" s="79">
        <f>C387*2*0.15</f>
        <v>8370</v>
      </c>
      <c r="D380" s="79">
        <f>D387*2*0.15</f>
        <v>9420</v>
      </c>
      <c r="E380" s="79">
        <f>E387*2*0.15</f>
        <v>10455</v>
      </c>
      <c r="F380" s="79">
        <f>F387*2*0.15</f>
        <v>11295</v>
      </c>
      <c r="G380" s="79">
        <f t="shared" ref="G380:I380" si="630">G387*2*0.15</f>
        <v>12135</v>
      </c>
      <c r="H380" s="79">
        <f t="shared" si="630"/>
        <v>12975</v>
      </c>
      <c r="I380" s="79">
        <f t="shared" si="630"/>
        <v>13815</v>
      </c>
      <c r="J380" s="80">
        <f t="shared" si="623"/>
        <v>183</v>
      </c>
      <c r="K380" s="80">
        <f t="shared" si="624"/>
        <v>196</v>
      </c>
      <c r="L380" s="80">
        <f t="shared" si="625"/>
        <v>235</v>
      </c>
      <c r="M380" s="80">
        <f t="shared" si="626"/>
        <v>271</v>
      </c>
      <c r="N380" s="80">
        <f t="shared" si="627"/>
        <v>303</v>
      </c>
      <c r="O380" s="80">
        <f t="shared" si="628"/>
        <v>334</v>
      </c>
      <c r="P380" s="81"/>
      <c r="Q380" s="81"/>
      <c r="R380" s="81"/>
      <c r="S380" s="81"/>
      <c r="T380" s="81"/>
      <c r="U380" s="81"/>
      <c r="V380" s="81"/>
      <c r="W380" s="81"/>
      <c r="X380" s="81"/>
      <c r="Y380" s="81"/>
      <c r="Z380" s="81"/>
      <c r="AA380" s="81"/>
      <c r="AB380" s="81"/>
      <c r="AC380" s="81"/>
      <c r="AD380" s="81"/>
      <c r="AE380" s="81"/>
      <c r="AF380" s="81"/>
    </row>
    <row r="381" spans="1:32">
      <c r="A381" s="76" t="s">
        <v>1115</v>
      </c>
      <c r="B381" s="79">
        <f>B387*2*0.2</f>
        <v>9760</v>
      </c>
      <c r="C381" s="79">
        <f t="shared" ref="C381:I381" si="631">C387*2*0.2</f>
        <v>11160</v>
      </c>
      <c r="D381" s="79">
        <f t="shared" si="631"/>
        <v>12560</v>
      </c>
      <c r="E381" s="79">
        <f t="shared" si="631"/>
        <v>13940</v>
      </c>
      <c r="F381" s="79">
        <f t="shared" si="631"/>
        <v>15060</v>
      </c>
      <c r="G381" s="79">
        <f t="shared" si="631"/>
        <v>16180</v>
      </c>
      <c r="H381" s="79">
        <f t="shared" si="631"/>
        <v>17300</v>
      </c>
      <c r="I381" s="79">
        <f t="shared" si="631"/>
        <v>18420</v>
      </c>
      <c r="J381" s="80">
        <f t="shared" si="623"/>
        <v>244</v>
      </c>
      <c r="K381" s="80">
        <f t="shared" si="624"/>
        <v>261</v>
      </c>
      <c r="L381" s="80">
        <f t="shared" si="625"/>
        <v>314</v>
      </c>
      <c r="M381" s="80">
        <f t="shared" si="626"/>
        <v>362</v>
      </c>
      <c r="N381" s="80">
        <f t="shared" si="627"/>
        <v>404</v>
      </c>
      <c r="O381" s="80">
        <f t="shared" si="628"/>
        <v>446</v>
      </c>
      <c r="P381" s="81"/>
      <c r="Q381" s="81"/>
      <c r="R381" s="81"/>
      <c r="S381" s="81"/>
      <c r="T381" s="81"/>
      <c r="U381" s="81"/>
      <c r="V381" s="81"/>
      <c r="W381" s="81"/>
      <c r="X381" s="81"/>
      <c r="Y381" s="81"/>
      <c r="Z381" s="81"/>
      <c r="AA381" s="81"/>
      <c r="AB381" s="81"/>
      <c r="AC381" s="81"/>
      <c r="AD381" s="81"/>
      <c r="AE381" s="81"/>
      <c r="AF381" s="81"/>
    </row>
    <row r="382" spans="1:32">
      <c r="A382" s="76" t="s">
        <v>1116</v>
      </c>
      <c r="B382" s="79">
        <f>B387*2*0.25</f>
        <v>12200</v>
      </c>
      <c r="C382" s="79">
        <f t="shared" ref="C382:I382" si="632">C387*2*0.25</f>
        <v>13950</v>
      </c>
      <c r="D382" s="79">
        <f t="shared" si="632"/>
        <v>15700</v>
      </c>
      <c r="E382" s="79">
        <f t="shared" si="632"/>
        <v>17425</v>
      </c>
      <c r="F382" s="79">
        <f t="shared" si="632"/>
        <v>18825</v>
      </c>
      <c r="G382" s="79">
        <f t="shared" si="632"/>
        <v>20225</v>
      </c>
      <c r="H382" s="79">
        <f t="shared" si="632"/>
        <v>21625</v>
      </c>
      <c r="I382" s="79">
        <f t="shared" si="632"/>
        <v>23025</v>
      </c>
      <c r="J382" s="80">
        <f t="shared" si="623"/>
        <v>305</v>
      </c>
      <c r="K382" s="80">
        <f t="shared" si="624"/>
        <v>326</v>
      </c>
      <c r="L382" s="80">
        <f t="shared" si="625"/>
        <v>392</v>
      </c>
      <c r="M382" s="80">
        <f t="shared" si="626"/>
        <v>453</v>
      </c>
      <c r="N382" s="80">
        <f t="shared" si="627"/>
        <v>505</v>
      </c>
      <c r="O382" s="80">
        <f t="shared" si="628"/>
        <v>558</v>
      </c>
      <c r="P382" s="81"/>
      <c r="Q382" s="81"/>
      <c r="R382" s="81"/>
      <c r="S382" s="81"/>
      <c r="T382" s="81"/>
      <c r="U382" s="81"/>
      <c r="V382" s="81"/>
      <c r="W382" s="81"/>
      <c r="X382" s="81"/>
      <c r="Y382" s="81"/>
      <c r="Z382" s="81"/>
      <c r="AA382" s="81"/>
      <c r="AB382" s="81"/>
      <c r="AC382" s="81"/>
      <c r="AD382" s="81"/>
      <c r="AE382" s="81"/>
      <c r="AF382" s="81"/>
    </row>
    <row r="383" spans="1:32">
      <c r="A383" s="76" t="s">
        <v>1117</v>
      </c>
      <c r="B383" s="79">
        <f>B387*2*0.3</f>
        <v>14640</v>
      </c>
      <c r="C383" s="79">
        <f t="shared" ref="C383:I383" si="633">C387*2*0.3</f>
        <v>16740</v>
      </c>
      <c r="D383" s="79">
        <f t="shared" si="633"/>
        <v>18840</v>
      </c>
      <c r="E383" s="79">
        <f t="shared" si="633"/>
        <v>20910</v>
      </c>
      <c r="F383" s="79">
        <f t="shared" si="633"/>
        <v>22590</v>
      </c>
      <c r="G383" s="79">
        <f t="shared" si="633"/>
        <v>24270</v>
      </c>
      <c r="H383" s="79">
        <f t="shared" si="633"/>
        <v>25950</v>
      </c>
      <c r="I383" s="79">
        <f t="shared" si="633"/>
        <v>27630</v>
      </c>
      <c r="J383" s="80">
        <f t="shared" si="623"/>
        <v>366</v>
      </c>
      <c r="K383" s="80">
        <f t="shared" si="624"/>
        <v>392</v>
      </c>
      <c r="L383" s="80">
        <f t="shared" si="625"/>
        <v>471</v>
      </c>
      <c r="M383" s="80">
        <f t="shared" si="626"/>
        <v>543</v>
      </c>
      <c r="N383" s="80">
        <f t="shared" si="627"/>
        <v>606</v>
      </c>
      <c r="O383" s="80">
        <f t="shared" si="628"/>
        <v>669</v>
      </c>
      <c r="P383" s="81"/>
      <c r="Q383" s="81"/>
      <c r="R383" s="81"/>
      <c r="S383" s="81"/>
      <c r="T383" s="81"/>
      <c r="U383" s="81"/>
      <c r="V383" s="81"/>
      <c r="W383" s="81"/>
      <c r="X383" s="81"/>
      <c r="Y383" s="81"/>
      <c r="Z383" s="81"/>
      <c r="AA383" s="81"/>
      <c r="AB383" s="81"/>
      <c r="AC383" s="81"/>
      <c r="AD383" s="81"/>
      <c r="AE383" s="81"/>
      <c r="AF383" s="81"/>
    </row>
    <row r="384" spans="1:32">
      <c r="A384" s="76" t="s">
        <v>1118</v>
      </c>
      <c r="B384" s="79">
        <f>B387*2*0.35</f>
        <v>17080</v>
      </c>
      <c r="C384" s="79">
        <f t="shared" ref="C384:I384" si="634">C387*2*0.35</f>
        <v>19530</v>
      </c>
      <c r="D384" s="79">
        <f t="shared" si="634"/>
        <v>21980</v>
      </c>
      <c r="E384" s="79">
        <f t="shared" si="634"/>
        <v>24395</v>
      </c>
      <c r="F384" s="79">
        <f t="shared" si="634"/>
        <v>26355</v>
      </c>
      <c r="G384" s="79">
        <f t="shared" si="634"/>
        <v>28315</v>
      </c>
      <c r="H384" s="79">
        <f t="shared" si="634"/>
        <v>30274.999999999996</v>
      </c>
      <c r="I384" s="79">
        <f t="shared" si="634"/>
        <v>32234.999999999996</v>
      </c>
      <c r="J384" s="80">
        <f t="shared" si="623"/>
        <v>427</v>
      </c>
      <c r="K384" s="80">
        <f t="shared" si="624"/>
        <v>457</v>
      </c>
      <c r="L384" s="80">
        <f t="shared" si="625"/>
        <v>549</v>
      </c>
      <c r="M384" s="80">
        <f t="shared" si="626"/>
        <v>634</v>
      </c>
      <c r="N384" s="80">
        <f t="shared" si="627"/>
        <v>707</v>
      </c>
      <c r="O384" s="80">
        <f t="shared" si="628"/>
        <v>781</v>
      </c>
      <c r="P384" s="81"/>
      <c r="Q384" s="81"/>
      <c r="R384" s="81"/>
      <c r="S384" s="81"/>
      <c r="T384" s="81"/>
      <c r="U384" s="81"/>
      <c r="V384" s="81"/>
      <c r="W384" s="81"/>
      <c r="X384" s="81"/>
      <c r="Y384" s="81"/>
      <c r="Z384" s="81"/>
      <c r="AA384" s="81"/>
      <c r="AB384" s="81"/>
      <c r="AC384" s="81"/>
      <c r="AD384" s="81"/>
      <c r="AE384" s="81"/>
      <c r="AF384" s="81"/>
    </row>
    <row r="385" spans="1:32">
      <c r="A385" s="76" t="s">
        <v>1119</v>
      </c>
      <c r="B385" s="79">
        <f>B387*2*0.4</f>
        <v>19520</v>
      </c>
      <c r="C385" s="79">
        <f t="shared" ref="C385:I385" si="635">C387*2*0.4</f>
        <v>22320</v>
      </c>
      <c r="D385" s="79">
        <f t="shared" si="635"/>
        <v>25120</v>
      </c>
      <c r="E385" s="79">
        <f t="shared" si="635"/>
        <v>27880</v>
      </c>
      <c r="F385" s="79">
        <f t="shared" si="635"/>
        <v>30120</v>
      </c>
      <c r="G385" s="79">
        <f t="shared" si="635"/>
        <v>32360</v>
      </c>
      <c r="H385" s="79">
        <f t="shared" si="635"/>
        <v>34600</v>
      </c>
      <c r="I385" s="79">
        <f t="shared" si="635"/>
        <v>36840</v>
      </c>
      <c r="J385" s="80">
        <f t="shared" si="623"/>
        <v>488</v>
      </c>
      <c r="K385" s="80">
        <f t="shared" si="624"/>
        <v>523</v>
      </c>
      <c r="L385" s="80">
        <f t="shared" si="625"/>
        <v>628</v>
      </c>
      <c r="M385" s="80">
        <f t="shared" si="626"/>
        <v>725</v>
      </c>
      <c r="N385" s="80">
        <f t="shared" si="627"/>
        <v>809</v>
      </c>
      <c r="O385" s="80">
        <f t="shared" si="628"/>
        <v>893</v>
      </c>
      <c r="P385" s="81"/>
      <c r="Q385" s="81"/>
      <c r="R385" s="81"/>
      <c r="S385" s="81"/>
      <c r="T385" s="81"/>
      <c r="U385" s="81"/>
      <c r="V385" s="81"/>
      <c r="W385" s="81"/>
      <c r="X385" s="81"/>
      <c r="Y385" s="81"/>
      <c r="Z385" s="81"/>
      <c r="AA385" s="81"/>
      <c r="AB385" s="81"/>
      <c r="AC385" s="81"/>
      <c r="AD385" s="81"/>
      <c r="AE385" s="81"/>
      <c r="AF385" s="81"/>
    </row>
    <row r="386" spans="1:32">
      <c r="A386" s="76" t="s">
        <v>1120</v>
      </c>
      <c r="B386" s="79">
        <f>B387*2*0.45</f>
        <v>21960</v>
      </c>
      <c r="C386" s="79">
        <f t="shared" ref="C386:I386" si="636">C387*2*0.45</f>
        <v>25110</v>
      </c>
      <c r="D386" s="79">
        <f t="shared" si="636"/>
        <v>28260</v>
      </c>
      <c r="E386" s="79">
        <f t="shared" si="636"/>
        <v>31365</v>
      </c>
      <c r="F386" s="79">
        <f t="shared" si="636"/>
        <v>33885</v>
      </c>
      <c r="G386" s="79">
        <f t="shared" si="636"/>
        <v>36405</v>
      </c>
      <c r="H386" s="79">
        <f t="shared" si="636"/>
        <v>38925</v>
      </c>
      <c r="I386" s="79">
        <f t="shared" si="636"/>
        <v>41445</v>
      </c>
      <c r="J386" s="80">
        <f t="shared" si="623"/>
        <v>549</v>
      </c>
      <c r="K386" s="80">
        <f t="shared" si="624"/>
        <v>588</v>
      </c>
      <c r="L386" s="80">
        <f t="shared" si="625"/>
        <v>706</v>
      </c>
      <c r="M386" s="80">
        <f t="shared" si="626"/>
        <v>815</v>
      </c>
      <c r="N386" s="80">
        <f t="shared" si="627"/>
        <v>910</v>
      </c>
      <c r="O386" s="80">
        <f t="shared" si="628"/>
        <v>1004</v>
      </c>
      <c r="P386" s="81"/>
      <c r="Q386" s="81"/>
      <c r="R386" s="81"/>
      <c r="S386" s="81"/>
      <c r="T386" s="81"/>
      <c r="U386" s="81"/>
      <c r="V386" s="81"/>
      <c r="W386" s="81"/>
      <c r="X386" s="81"/>
      <c r="Y386" s="81"/>
      <c r="Z386" s="81"/>
      <c r="AA386" s="81"/>
      <c r="AB386" s="81"/>
      <c r="AC386" s="81"/>
      <c r="AD386" s="81"/>
      <c r="AE386" s="81"/>
      <c r="AF386" s="81"/>
    </row>
    <row r="387" spans="1:32">
      <c r="A387" s="82" t="s">
        <v>1121</v>
      </c>
      <c r="B387" s="84">
        <f>'MTSP 50% Income Limits '!B23</f>
        <v>24400</v>
      </c>
      <c r="C387" s="84">
        <f>'MTSP 50% Income Limits '!C23</f>
        <v>27900</v>
      </c>
      <c r="D387" s="84">
        <f>'MTSP 50% Income Limits '!D23</f>
        <v>31400</v>
      </c>
      <c r="E387" s="84">
        <f>'MTSP 50% Income Limits '!E23</f>
        <v>34850</v>
      </c>
      <c r="F387" s="84">
        <f>'MTSP 50% Income Limits '!F23</f>
        <v>37650</v>
      </c>
      <c r="G387" s="84">
        <f>'MTSP 50% Income Limits '!G23</f>
        <v>40450</v>
      </c>
      <c r="H387" s="84">
        <f>'MTSP 50% Income Limits '!H23</f>
        <v>43250</v>
      </c>
      <c r="I387" s="84">
        <f>'MTSP 50% Income Limits '!I23</f>
        <v>46050</v>
      </c>
      <c r="J387" s="83">
        <f>TRUNC(B387/12*0.3)</f>
        <v>610</v>
      </c>
      <c r="K387" s="83">
        <f>TRUNC((B387+C387)/2/12*0.3)</f>
        <v>653</v>
      </c>
      <c r="L387" s="83">
        <f>TRUNC((D387)/12*0.3)</f>
        <v>785</v>
      </c>
      <c r="M387" s="83">
        <f>TRUNC(((E387+F387)/2)/12*0.3)</f>
        <v>906</v>
      </c>
      <c r="N387" s="83">
        <f>TRUNC(G387/12*0.3)</f>
        <v>1011</v>
      </c>
      <c r="O387" s="83">
        <f>TRUNC(((H387+I387)/2)/12*0.3)</f>
        <v>1116</v>
      </c>
      <c r="P387" s="81"/>
      <c r="Q387" s="81"/>
      <c r="R387" s="81"/>
      <c r="S387" s="81"/>
      <c r="T387" s="81"/>
      <c r="U387" s="81"/>
      <c r="V387" s="81"/>
      <c r="W387" s="81"/>
      <c r="X387" s="81"/>
      <c r="Y387" s="81"/>
      <c r="Z387" s="81"/>
      <c r="AA387" s="81"/>
      <c r="AB387" s="81"/>
      <c r="AC387" s="81"/>
      <c r="AD387" s="81"/>
      <c r="AE387" s="81"/>
      <c r="AF387" s="81"/>
    </row>
    <row r="388" spans="1:32">
      <c r="A388" s="76" t="s">
        <v>1122</v>
      </c>
      <c r="B388" s="79">
        <f>B387*2*0.55</f>
        <v>26840.000000000004</v>
      </c>
      <c r="C388" s="79">
        <f t="shared" ref="C388:I388" si="637">C387*2*0.55</f>
        <v>30690.000000000004</v>
      </c>
      <c r="D388" s="79">
        <f t="shared" si="637"/>
        <v>34540</v>
      </c>
      <c r="E388" s="79">
        <f t="shared" si="637"/>
        <v>38335</v>
      </c>
      <c r="F388" s="79">
        <f t="shared" si="637"/>
        <v>41415</v>
      </c>
      <c r="G388" s="79">
        <f t="shared" si="637"/>
        <v>44495</v>
      </c>
      <c r="H388" s="79">
        <f t="shared" si="637"/>
        <v>47575.000000000007</v>
      </c>
      <c r="I388" s="79">
        <f t="shared" si="637"/>
        <v>50655.000000000007</v>
      </c>
      <c r="J388" s="80">
        <f t="shared" ref="J388:J394" si="638">TRUNC(B388/12*0.3)</f>
        <v>671</v>
      </c>
      <c r="K388" s="80">
        <f t="shared" ref="K388:K394" si="639">TRUNC((B388+C388)/2/12*0.3)</f>
        <v>719</v>
      </c>
      <c r="L388" s="80">
        <f t="shared" ref="L388:L394" si="640">TRUNC((D388)/12*0.3)</f>
        <v>863</v>
      </c>
      <c r="M388" s="80">
        <f t="shared" ref="M388:M394" si="641">TRUNC(((E388+F388)/2)/12*0.3)</f>
        <v>996</v>
      </c>
      <c r="N388" s="80">
        <f t="shared" ref="N388:N394" si="642">TRUNC(G388/12*0.3)</f>
        <v>1112</v>
      </c>
      <c r="O388" s="80">
        <f t="shared" ref="O388:O394" si="643">TRUNC(((H388+I388)/2)/12*0.3)</f>
        <v>1227</v>
      </c>
      <c r="P388" s="81"/>
      <c r="Q388" s="81"/>
      <c r="R388" s="81"/>
      <c r="S388" s="81"/>
      <c r="T388" s="81"/>
      <c r="U388" s="81"/>
      <c r="V388" s="81"/>
      <c r="W388" s="81"/>
      <c r="X388" s="81"/>
      <c r="Y388" s="81"/>
      <c r="Z388" s="81"/>
      <c r="AA388" s="81"/>
      <c r="AB388" s="81"/>
      <c r="AC388" s="81"/>
      <c r="AD388" s="81"/>
      <c r="AE388" s="81"/>
      <c r="AF388" s="81"/>
    </row>
    <row r="389" spans="1:32">
      <c r="A389" s="76" t="s">
        <v>1123</v>
      </c>
      <c r="B389" s="79">
        <f>B387*2*0.6</f>
        <v>29280</v>
      </c>
      <c r="C389" s="79">
        <f t="shared" ref="C389:I389" si="644">C387*2*0.6</f>
        <v>33480</v>
      </c>
      <c r="D389" s="79">
        <f t="shared" si="644"/>
        <v>37680</v>
      </c>
      <c r="E389" s="79">
        <f t="shared" si="644"/>
        <v>41820</v>
      </c>
      <c r="F389" s="79">
        <f t="shared" si="644"/>
        <v>45180</v>
      </c>
      <c r="G389" s="79">
        <f t="shared" si="644"/>
        <v>48540</v>
      </c>
      <c r="H389" s="79">
        <f t="shared" si="644"/>
        <v>51900</v>
      </c>
      <c r="I389" s="79">
        <f t="shared" si="644"/>
        <v>55260</v>
      </c>
      <c r="J389" s="80">
        <f t="shared" si="638"/>
        <v>732</v>
      </c>
      <c r="K389" s="80">
        <f t="shared" si="639"/>
        <v>784</v>
      </c>
      <c r="L389" s="80">
        <f t="shared" si="640"/>
        <v>942</v>
      </c>
      <c r="M389" s="80">
        <f t="shared" si="641"/>
        <v>1087</v>
      </c>
      <c r="N389" s="80">
        <f t="shared" si="642"/>
        <v>1213</v>
      </c>
      <c r="O389" s="80">
        <f t="shared" si="643"/>
        <v>1339</v>
      </c>
      <c r="P389" s="81"/>
      <c r="Q389" s="81"/>
      <c r="R389" s="81"/>
      <c r="S389" s="81"/>
      <c r="T389" s="81"/>
      <c r="U389" s="81"/>
      <c r="V389" s="81"/>
      <c r="W389" s="81"/>
      <c r="X389" s="81"/>
      <c r="Y389" s="81"/>
      <c r="Z389" s="81"/>
      <c r="AA389" s="81"/>
      <c r="AB389" s="81"/>
      <c r="AC389" s="81"/>
      <c r="AD389" s="81"/>
      <c r="AE389" s="81"/>
      <c r="AF389" s="81"/>
    </row>
    <row r="390" spans="1:32">
      <c r="A390" s="76" t="s">
        <v>1124</v>
      </c>
      <c r="B390" s="79">
        <f>B387*2*0.65</f>
        <v>31720</v>
      </c>
      <c r="C390" s="79">
        <f t="shared" ref="C390:I390" si="645">C387*2*0.65</f>
        <v>36270</v>
      </c>
      <c r="D390" s="79">
        <f t="shared" si="645"/>
        <v>40820</v>
      </c>
      <c r="E390" s="79">
        <f t="shared" si="645"/>
        <v>45305</v>
      </c>
      <c r="F390" s="79">
        <f t="shared" si="645"/>
        <v>48945</v>
      </c>
      <c r="G390" s="79">
        <f t="shared" si="645"/>
        <v>52585</v>
      </c>
      <c r="H390" s="79">
        <f t="shared" si="645"/>
        <v>56225</v>
      </c>
      <c r="I390" s="79">
        <f t="shared" si="645"/>
        <v>59865</v>
      </c>
      <c r="J390" s="80">
        <f t="shared" si="638"/>
        <v>793</v>
      </c>
      <c r="K390" s="80">
        <f t="shared" si="639"/>
        <v>849</v>
      </c>
      <c r="L390" s="80">
        <f t="shared" si="640"/>
        <v>1020</v>
      </c>
      <c r="M390" s="80">
        <f t="shared" si="641"/>
        <v>1178</v>
      </c>
      <c r="N390" s="80">
        <f t="shared" si="642"/>
        <v>1314</v>
      </c>
      <c r="O390" s="80">
        <f t="shared" si="643"/>
        <v>1451</v>
      </c>
      <c r="P390" s="81"/>
      <c r="Q390" s="81"/>
      <c r="R390" s="81"/>
      <c r="S390" s="81"/>
      <c r="T390" s="81"/>
      <c r="U390" s="81"/>
      <c r="V390" s="81"/>
      <c r="W390" s="81"/>
      <c r="X390" s="81"/>
      <c r="Y390" s="81"/>
      <c r="Z390" s="81"/>
      <c r="AA390" s="81"/>
      <c r="AB390" s="81"/>
      <c r="AC390" s="81"/>
      <c r="AD390" s="81"/>
      <c r="AE390" s="81"/>
      <c r="AF390" s="81"/>
    </row>
    <row r="391" spans="1:32">
      <c r="A391" s="76" t="s">
        <v>1125</v>
      </c>
      <c r="B391" s="79">
        <f>B387*2*0.7</f>
        <v>34160</v>
      </c>
      <c r="C391" s="79">
        <f t="shared" ref="C391:I391" si="646">C387*2*0.7</f>
        <v>39060</v>
      </c>
      <c r="D391" s="79">
        <f t="shared" si="646"/>
        <v>43960</v>
      </c>
      <c r="E391" s="79">
        <f t="shared" si="646"/>
        <v>48790</v>
      </c>
      <c r="F391" s="79">
        <f t="shared" si="646"/>
        <v>52710</v>
      </c>
      <c r="G391" s="79">
        <f t="shared" si="646"/>
        <v>56630</v>
      </c>
      <c r="H391" s="79">
        <f t="shared" si="646"/>
        <v>60549.999999999993</v>
      </c>
      <c r="I391" s="79">
        <f t="shared" si="646"/>
        <v>64469.999999999993</v>
      </c>
      <c r="J391" s="80">
        <f t="shared" si="638"/>
        <v>854</v>
      </c>
      <c r="K391" s="80">
        <f t="shared" si="639"/>
        <v>915</v>
      </c>
      <c r="L391" s="80">
        <f t="shared" si="640"/>
        <v>1099</v>
      </c>
      <c r="M391" s="80">
        <f t="shared" si="641"/>
        <v>1268</v>
      </c>
      <c r="N391" s="80">
        <f t="shared" si="642"/>
        <v>1415</v>
      </c>
      <c r="O391" s="80">
        <f t="shared" si="643"/>
        <v>1562</v>
      </c>
      <c r="P391" s="81"/>
      <c r="Q391" s="81"/>
      <c r="R391" s="81"/>
      <c r="S391" s="81"/>
      <c r="T391" s="81"/>
      <c r="U391" s="81"/>
      <c r="V391" s="81"/>
      <c r="W391" s="81"/>
      <c r="X391" s="81"/>
      <c r="Y391" s="81"/>
      <c r="Z391" s="81"/>
      <c r="AA391" s="81"/>
      <c r="AB391" s="81"/>
      <c r="AC391" s="81"/>
      <c r="AD391" s="81"/>
      <c r="AE391" s="81"/>
      <c r="AF391" s="81"/>
    </row>
    <row r="392" spans="1:32">
      <c r="A392" s="76" t="s">
        <v>1126</v>
      </c>
      <c r="B392" s="79">
        <f>B387*2*0.75</f>
        <v>36600</v>
      </c>
      <c r="C392" s="79">
        <f t="shared" ref="C392:I392" si="647">C387*2*0.75</f>
        <v>41850</v>
      </c>
      <c r="D392" s="79">
        <f t="shared" si="647"/>
        <v>47100</v>
      </c>
      <c r="E392" s="79">
        <f t="shared" si="647"/>
        <v>52275</v>
      </c>
      <c r="F392" s="79">
        <f t="shared" si="647"/>
        <v>56475</v>
      </c>
      <c r="G392" s="79">
        <f t="shared" si="647"/>
        <v>60675</v>
      </c>
      <c r="H392" s="79">
        <f t="shared" si="647"/>
        <v>64875</v>
      </c>
      <c r="I392" s="79">
        <f t="shared" si="647"/>
        <v>69075</v>
      </c>
      <c r="J392" s="80">
        <f t="shared" si="638"/>
        <v>915</v>
      </c>
      <c r="K392" s="80">
        <f t="shared" si="639"/>
        <v>980</v>
      </c>
      <c r="L392" s="80">
        <f t="shared" si="640"/>
        <v>1177</v>
      </c>
      <c r="M392" s="80">
        <f t="shared" si="641"/>
        <v>1359</v>
      </c>
      <c r="N392" s="80">
        <f t="shared" si="642"/>
        <v>1516</v>
      </c>
      <c r="O392" s="80">
        <f t="shared" si="643"/>
        <v>1674</v>
      </c>
      <c r="P392" s="81"/>
      <c r="Q392" s="81"/>
      <c r="R392" s="81"/>
      <c r="S392" s="81"/>
      <c r="T392" s="81"/>
      <c r="U392" s="81"/>
      <c r="V392" s="81"/>
      <c r="W392" s="81"/>
      <c r="X392" s="81"/>
      <c r="Y392" s="81"/>
      <c r="Z392" s="81"/>
      <c r="AA392" s="81"/>
      <c r="AB392" s="81"/>
      <c r="AC392" s="81"/>
      <c r="AD392" s="81"/>
      <c r="AE392" s="81"/>
      <c r="AF392" s="81"/>
    </row>
    <row r="393" spans="1:32">
      <c r="A393" s="76" t="s">
        <v>1127</v>
      </c>
      <c r="B393" s="79">
        <f>B387*2*0.8</f>
        <v>39040</v>
      </c>
      <c r="C393" s="79">
        <f t="shared" ref="C393:I393" si="648">C387*2*0.8</f>
        <v>44640</v>
      </c>
      <c r="D393" s="79">
        <f t="shared" si="648"/>
        <v>50240</v>
      </c>
      <c r="E393" s="79">
        <f t="shared" si="648"/>
        <v>55760</v>
      </c>
      <c r="F393" s="79">
        <f t="shared" si="648"/>
        <v>60240</v>
      </c>
      <c r="G393" s="79">
        <f t="shared" si="648"/>
        <v>64720</v>
      </c>
      <c r="H393" s="79">
        <f t="shared" si="648"/>
        <v>69200</v>
      </c>
      <c r="I393" s="79">
        <f t="shared" si="648"/>
        <v>73680</v>
      </c>
      <c r="J393" s="80">
        <f t="shared" si="638"/>
        <v>976</v>
      </c>
      <c r="K393" s="80">
        <f t="shared" si="639"/>
        <v>1046</v>
      </c>
      <c r="L393" s="80">
        <f t="shared" si="640"/>
        <v>1256</v>
      </c>
      <c r="M393" s="80">
        <f t="shared" si="641"/>
        <v>1450</v>
      </c>
      <c r="N393" s="80">
        <f t="shared" si="642"/>
        <v>1618</v>
      </c>
      <c r="O393" s="80">
        <f t="shared" si="643"/>
        <v>1786</v>
      </c>
      <c r="P393" s="81"/>
      <c r="Q393" s="81"/>
      <c r="R393" s="81"/>
      <c r="S393" s="81"/>
      <c r="T393" s="81"/>
      <c r="U393" s="81"/>
      <c r="V393" s="81"/>
      <c r="W393" s="81"/>
      <c r="X393" s="81"/>
      <c r="Y393" s="81"/>
      <c r="Z393" s="81"/>
      <c r="AA393" s="81"/>
      <c r="AB393" s="81"/>
      <c r="AC393" s="81"/>
      <c r="AD393" s="81"/>
      <c r="AE393" s="81"/>
      <c r="AF393" s="81"/>
    </row>
    <row r="394" spans="1:32">
      <c r="A394" s="76" t="s">
        <v>1128</v>
      </c>
      <c r="B394" s="79">
        <f>B387*2*0.9</f>
        <v>43920</v>
      </c>
      <c r="C394" s="79">
        <f t="shared" ref="C394:I394" si="649">C387*2*0.9</f>
        <v>50220</v>
      </c>
      <c r="D394" s="79">
        <f t="shared" si="649"/>
        <v>56520</v>
      </c>
      <c r="E394" s="79">
        <f t="shared" si="649"/>
        <v>62730</v>
      </c>
      <c r="F394" s="79">
        <f t="shared" si="649"/>
        <v>67770</v>
      </c>
      <c r="G394" s="79">
        <f t="shared" si="649"/>
        <v>72810</v>
      </c>
      <c r="H394" s="79">
        <f t="shared" si="649"/>
        <v>77850</v>
      </c>
      <c r="I394" s="79">
        <f t="shared" si="649"/>
        <v>82890</v>
      </c>
      <c r="J394" s="80">
        <f t="shared" si="638"/>
        <v>1098</v>
      </c>
      <c r="K394" s="80">
        <f t="shared" si="639"/>
        <v>1176</v>
      </c>
      <c r="L394" s="80">
        <f t="shared" si="640"/>
        <v>1413</v>
      </c>
      <c r="M394" s="80">
        <f t="shared" si="641"/>
        <v>1631</v>
      </c>
      <c r="N394" s="80">
        <f t="shared" si="642"/>
        <v>1820</v>
      </c>
      <c r="O394" s="80">
        <f t="shared" si="643"/>
        <v>2009</v>
      </c>
      <c r="P394" s="81"/>
      <c r="Q394" s="81"/>
      <c r="R394" s="81"/>
      <c r="S394" s="81"/>
      <c r="T394" s="81"/>
      <c r="U394" s="81"/>
      <c r="V394" s="81"/>
      <c r="W394" s="81"/>
      <c r="X394" s="81"/>
      <c r="Y394" s="81"/>
      <c r="Z394" s="81"/>
      <c r="AA394" s="81"/>
      <c r="AB394" s="81"/>
      <c r="AC394" s="81"/>
      <c r="AD394" s="81"/>
      <c r="AE394" s="81"/>
      <c r="AF394" s="81"/>
    </row>
    <row r="395" spans="1:32">
      <c r="A395" s="76" t="s">
        <v>1129</v>
      </c>
      <c r="B395" s="79">
        <f>B387*2</f>
        <v>48800</v>
      </c>
      <c r="C395" s="79">
        <f t="shared" ref="C395:I395" si="650">C387*2</f>
        <v>55800</v>
      </c>
      <c r="D395" s="79">
        <f t="shared" si="650"/>
        <v>62800</v>
      </c>
      <c r="E395" s="79">
        <f t="shared" si="650"/>
        <v>69700</v>
      </c>
      <c r="F395" s="79">
        <f t="shared" si="650"/>
        <v>75300</v>
      </c>
      <c r="G395" s="79">
        <f t="shared" si="650"/>
        <v>80900</v>
      </c>
      <c r="H395" s="79">
        <f t="shared" si="650"/>
        <v>86500</v>
      </c>
      <c r="I395" s="79">
        <f t="shared" si="650"/>
        <v>92100</v>
      </c>
      <c r="J395" s="80">
        <f>J387*2</f>
        <v>1220</v>
      </c>
      <c r="K395" s="80">
        <f t="shared" ref="K395:O395" si="651">K387*2</f>
        <v>1306</v>
      </c>
      <c r="L395" s="80">
        <f t="shared" si="651"/>
        <v>1570</v>
      </c>
      <c r="M395" s="80">
        <f t="shared" si="651"/>
        <v>1812</v>
      </c>
      <c r="N395" s="80">
        <f t="shared" si="651"/>
        <v>2022</v>
      </c>
      <c r="O395" s="80">
        <f t="shared" si="651"/>
        <v>2232</v>
      </c>
      <c r="P395" s="81"/>
      <c r="Q395" s="81"/>
      <c r="R395" s="81"/>
      <c r="S395" s="81"/>
      <c r="T395" s="81"/>
      <c r="U395" s="81"/>
      <c r="V395" s="81"/>
      <c r="W395" s="81"/>
      <c r="X395" s="81"/>
      <c r="Y395" s="81"/>
      <c r="Z395" s="81"/>
      <c r="AA395" s="81"/>
      <c r="AB395" s="81"/>
      <c r="AC395" s="81"/>
      <c r="AD395" s="81"/>
      <c r="AE395" s="81"/>
      <c r="AF395" s="81"/>
    </row>
    <row r="396" spans="1:32">
      <c r="A396" s="76" t="s">
        <v>1130</v>
      </c>
      <c r="B396" s="79">
        <f>B387*2*1.1</f>
        <v>53680.000000000007</v>
      </c>
      <c r="C396" s="79">
        <f t="shared" ref="C396:I396" si="652">C387*2*1.1</f>
        <v>61380.000000000007</v>
      </c>
      <c r="D396" s="79">
        <f t="shared" si="652"/>
        <v>69080</v>
      </c>
      <c r="E396" s="79">
        <f t="shared" si="652"/>
        <v>76670</v>
      </c>
      <c r="F396" s="79">
        <f t="shared" si="652"/>
        <v>82830</v>
      </c>
      <c r="G396" s="79">
        <f t="shared" si="652"/>
        <v>88990</v>
      </c>
      <c r="H396" s="79">
        <f t="shared" si="652"/>
        <v>95150.000000000015</v>
      </c>
      <c r="I396" s="79">
        <f t="shared" si="652"/>
        <v>101310.00000000001</v>
      </c>
      <c r="J396" s="80">
        <f t="shared" ref="J396:J404" si="653">TRUNC(B396/12*0.3)</f>
        <v>1342</v>
      </c>
      <c r="K396" s="80">
        <f t="shared" ref="K396:K404" si="654">TRUNC((B396+C396)/2/12*0.3)</f>
        <v>1438</v>
      </c>
      <c r="L396" s="80">
        <f t="shared" ref="L396:L404" si="655">TRUNC((D396)/12*0.3)</f>
        <v>1727</v>
      </c>
      <c r="M396" s="80">
        <f t="shared" ref="M396:M404" si="656">TRUNC(((E396+F396)/2)/12*0.3)</f>
        <v>1993</v>
      </c>
      <c r="N396" s="80">
        <f t="shared" ref="N396:N404" si="657">TRUNC(G396/12*0.3)</f>
        <v>2224</v>
      </c>
      <c r="O396" s="80">
        <f t="shared" ref="O396:O404" si="658">TRUNC(((H396+I396)/2)/12*0.3)</f>
        <v>2455</v>
      </c>
      <c r="P396" s="81"/>
      <c r="Q396" s="81"/>
      <c r="R396" s="81"/>
      <c r="S396" s="81"/>
      <c r="T396" s="81"/>
      <c r="U396" s="81"/>
      <c r="V396" s="81"/>
      <c r="W396" s="81"/>
      <c r="X396" s="81"/>
      <c r="Y396" s="81"/>
      <c r="Z396" s="81"/>
      <c r="AA396" s="81"/>
      <c r="AB396" s="81"/>
      <c r="AC396" s="81"/>
      <c r="AD396" s="81"/>
      <c r="AE396" s="81"/>
      <c r="AF396" s="81"/>
    </row>
    <row r="397" spans="1:32">
      <c r="A397" s="76" t="s">
        <v>1131</v>
      </c>
      <c r="B397" s="79">
        <f>B387*2*1.2</f>
        <v>58560</v>
      </c>
      <c r="C397" s="79">
        <f t="shared" ref="C397:I397" si="659">C387*2*1.2</f>
        <v>66960</v>
      </c>
      <c r="D397" s="79">
        <f t="shared" si="659"/>
        <v>75360</v>
      </c>
      <c r="E397" s="79">
        <f t="shared" si="659"/>
        <v>83640</v>
      </c>
      <c r="F397" s="79">
        <f t="shared" si="659"/>
        <v>90360</v>
      </c>
      <c r="G397" s="79">
        <f t="shared" si="659"/>
        <v>97080</v>
      </c>
      <c r="H397" s="79">
        <f t="shared" si="659"/>
        <v>103800</v>
      </c>
      <c r="I397" s="79">
        <f t="shared" si="659"/>
        <v>110520</v>
      </c>
      <c r="J397" s="80">
        <f t="shared" si="653"/>
        <v>1464</v>
      </c>
      <c r="K397" s="80">
        <f t="shared" si="654"/>
        <v>1569</v>
      </c>
      <c r="L397" s="80">
        <f t="shared" si="655"/>
        <v>1884</v>
      </c>
      <c r="M397" s="80">
        <f t="shared" si="656"/>
        <v>2175</v>
      </c>
      <c r="N397" s="80">
        <f t="shared" si="657"/>
        <v>2427</v>
      </c>
      <c r="O397" s="80">
        <f t="shared" si="658"/>
        <v>2679</v>
      </c>
      <c r="P397" s="81"/>
      <c r="Q397" s="81"/>
      <c r="R397" s="81"/>
      <c r="S397" s="81"/>
      <c r="T397" s="81"/>
      <c r="U397" s="81"/>
      <c r="V397" s="81"/>
      <c r="W397" s="81"/>
      <c r="X397" s="81"/>
      <c r="Y397" s="81"/>
      <c r="Z397" s="81"/>
      <c r="AA397" s="81"/>
      <c r="AB397" s="81"/>
      <c r="AC397" s="81"/>
      <c r="AD397" s="81"/>
      <c r="AE397" s="81"/>
      <c r="AF397" s="81"/>
    </row>
    <row r="398" spans="1:32">
      <c r="A398" s="76" t="s">
        <v>1132</v>
      </c>
      <c r="B398" s="79">
        <f>B405*2*0.15</f>
        <v>7605</v>
      </c>
      <c r="C398" s="79">
        <f>C405*2*0.15</f>
        <v>8685</v>
      </c>
      <c r="D398" s="79">
        <f>D405*2*0.15</f>
        <v>9765</v>
      </c>
      <c r="E398" s="79">
        <f>E405*2*0.15</f>
        <v>10845</v>
      </c>
      <c r="F398" s="79">
        <f>F405*2*0.15</f>
        <v>11715</v>
      </c>
      <c r="G398" s="79">
        <f t="shared" ref="G398:I398" si="660">G405*2*0.15</f>
        <v>12585</v>
      </c>
      <c r="H398" s="79">
        <f t="shared" si="660"/>
        <v>13455</v>
      </c>
      <c r="I398" s="79">
        <f t="shared" si="660"/>
        <v>14325</v>
      </c>
      <c r="J398" s="80">
        <f t="shared" si="653"/>
        <v>190</v>
      </c>
      <c r="K398" s="80">
        <f t="shared" si="654"/>
        <v>203</v>
      </c>
      <c r="L398" s="80">
        <f t="shared" si="655"/>
        <v>244</v>
      </c>
      <c r="M398" s="80">
        <f t="shared" si="656"/>
        <v>282</v>
      </c>
      <c r="N398" s="80">
        <f t="shared" si="657"/>
        <v>314</v>
      </c>
      <c r="O398" s="80">
        <f t="shared" si="658"/>
        <v>347</v>
      </c>
      <c r="P398" s="81"/>
      <c r="Q398" s="81"/>
      <c r="R398" s="81"/>
      <c r="S398" s="81"/>
      <c r="T398" s="81"/>
      <c r="U398" s="81"/>
      <c r="V398" s="81"/>
      <c r="W398" s="81"/>
      <c r="X398" s="81"/>
      <c r="Y398" s="81"/>
      <c r="Z398" s="81"/>
      <c r="AA398" s="81"/>
      <c r="AB398" s="81"/>
      <c r="AC398" s="81"/>
      <c r="AD398" s="81"/>
      <c r="AE398" s="81"/>
      <c r="AF398" s="81"/>
    </row>
    <row r="399" spans="1:32">
      <c r="A399" s="76" t="s">
        <v>1133</v>
      </c>
      <c r="B399" s="79">
        <f>B405*2*0.2</f>
        <v>10140</v>
      </c>
      <c r="C399" s="79">
        <f t="shared" ref="C399:I399" si="661">C405*2*0.2</f>
        <v>11580</v>
      </c>
      <c r="D399" s="79">
        <f t="shared" si="661"/>
        <v>13020</v>
      </c>
      <c r="E399" s="79">
        <f t="shared" si="661"/>
        <v>14460</v>
      </c>
      <c r="F399" s="79">
        <f t="shared" si="661"/>
        <v>15620</v>
      </c>
      <c r="G399" s="79">
        <f t="shared" si="661"/>
        <v>16780</v>
      </c>
      <c r="H399" s="79">
        <f t="shared" si="661"/>
        <v>17940</v>
      </c>
      <c r="I399" s="79">
        <f t="shared" si="661"/>
        <v>19100</v>
      </c>
      <c r="J399" s="80">
        <f t="shared" si="653"/>
        <v>253</v>
      </c>
      <c r="K399" s="80">
        <f t="shared" si="654"/>
        <v>271</v>
      </c>
      <c r="L399" s="80">
        <f t="shared" si="655"/>
        <v>325</v>
      </c>
      <c r="M399" s="80">
        <f t="shared" si="656"/>
        <v>376</v>
      </c>
      <c r="N399" s="80">
        <f t="shared" si="657"/>
        <v>419</v>
      </c>
      <c r="O399" s="80">
        <f t="shared" si="658"/>
        <v>463</v>
      </c>
      <c r="P399" s="81"/>
      <c r="Q399" s="81"/>
      <c r="R399" s="81"/>
      <c r="S399" s="81"/>
      <c r="T399" s="81"/>
      <c r="U399" s="81"/>
      <c r="V399" s="81"/>
      <c r="W399" s="81"/>
      <c r="X399" s="81"/>
      <c r="Y399" s="81"/>
      <c r="Z399" s="81"/>
      <c r="AA399" s="81"/>
      <c r="AB399" s="81"/>
      <c r="AC399" s="81"/>
      <c r="AD399" s="81"/>
      <c r="AE399" s="81"/>
      <c r="AF399" s="81"/>
    </row>
    <row r="400" spans="1:32">
      <c r="A400" s="76" t="s">
        <v>1134</v>
      </c>
      <c r="B400" s="79">
        <f>B405*2*0.25</f>
        <v>12675</v>
      </c>
      <c r="C400" s="79">
        <f t="shared" ref="C400:I400" si="662">C405*2*0.25</f>
        <v>14475</v>
      </c>
      <c r="D400" s="79">
        <f t="shared" si="662"/>
        <v>16275</v>
      </c>
      <c r="E400" s="79">
        <f t="shared" si="662"/>
        <v>18075</v>
      </c>
      <c r="F400" s="79">
        <f t="shared" si="662"/>
        <v>19525</v>
      </c>
      <c r="G400" s="79">
        <f t="shared" si="662"/>
        <v>20975</v>
      </c>
      <c r="H400" s="79">
        <f t="shared" si="662"/>
        <v>22425</v>
      </c>
      <c r="I400" s="79">
        <f t="shared" si="662"/>
        <v>23875</v>
      </c>
      <c r="J400" s="80">
        <f t="shared" si="653"/>
        <v>316</v>
      </c>
      <c r="K400" s="80">
        <f t="shared" si="654"/>
        <v>339</v>
      </c>
      <c r="L400" s="80">
        <f t="shared" si="655"/>
        <v>406</v>
      </c>
      <c r="M400" s="80">
        <f t="shared" si="656"/>
        <v>470</v>
      </c>
      <c r="N400" s="80">
        <f t="shared" si="657"/>
        <v>524</v>
      </c>
      <c r="O400" s="80">
        <f t="shared" si="658"/>
        <v>578</v>
      </c>
      <c r="P400" s="81"/>
      <c r="Q400" s="81"/>
      <c r="R400" s="81"/>
      <c r="S400" s="81"/>
      <c r="T400" s="81"/>
      <c r="U400" s="81"/>
      <c r="V400" s="81"/>
      <c r="W400" s="81"/>
      <c r="X400" s="81"/>
      <c r="Y400" s="81"/>
      <c r="Z400" s="81"/>
      <c r="AA400" s="81"/>
      <c r="AB400" s="81"/>
      <c r="AC400" s="81"/>
      <c r="AD400" s="81"/>
      <c r="AE400" s="81"/>
      <c r="AF400" s="81"/>
    </row>
    <row r="401" spans="1:32">
      <c r="A401" s="76" t="s">
        <v>1135</v>
      </c>
      <c r="B401" s="79">
        <f>B405*2*0.3</f>
        <v>15210</v>
      </c>
      <c r="C401" s="79">
        <f t="shared" ref="C401:I401" si="663">C405*2*0.3</f>
        <v>17370</v>
      </c>
      <c r="D401" s="79">
        <f t="shared" si="663"/>
        <v>19530</v>
      </c>
      <c r="E401" s="79">
        <f t="shared" si="663"/>
        <v>21690</v>
      </c>
      <c r="F401" s="79">
        <f t="shared" si="663"/>
        <v>23430</v>
      </c>
      <c r="G401" s="79">
        <f t="shared" si="663"/>
        <v>25170</v>
      </c>
      <c r="H401" s="79">
        <f t="shared" si="663"/>
        <v>26910</v>
      </c>
      <c r="I401" s="79">
        <f t="shared" si="663"/>
        <v>28650</v>
      </c>
      <c r="J401" s="80">
        <f t="shared" si="653"/>
        <v>380</v>
      </c>
      <c r="K401" s="80">
        <f t="shared" si="654"/>
        <v>407</v>
      </c>
      <c r="L401" s="80">
        <f t="shared" si="655"/>
        <v>488</v>
      </c>
      <c r="M401" s="80">
        <f t="shared" si="656"/>
        <v>564</v>
      </c>
      <c r="N401" s="80">
        <f t="shared" si="657"/>
        <v>629</v>
      </c>
      <c r="O401" s="80">
        <f t="shared" si="658"/>
        <v>694</v>
      </c>
      <c r="P401" s="81"/>
      <c r="Q401" s="81"/>
      <c r="R401" s="81"/>
      <c r="S401" s="81"/>
      <c r="T401" s="81"/>
      <c r="U401" s="81"/>
      <c r="V401" s="81"/>
      <c r="W401" s="81"/>
      <c r="X401" s="81"/>
      <c r="Y401" s="81"/>
      <c r="Z401" s="81"/>
      <c r="AA401" s="81"/>
      <c r="AB401" s="81"/>
      <c r="AC401" s="81"/>
      <c r="AD401" s="81"/>
      <c r="AE401" s="81"/>
      <c r="AF401" s="81"/>
    </row>
    <row r="402" spans="1:32">
      <c r="A402" s="76" t="s">
        <v>1136</v>
      </c>
      <c r="B402" s="79">
        <f>B405*2*0.35</f>
        <v>17745</v>
      </c>
      <c r="C402" s="79">
        <f t="shared" ref="C402:I402" si="664">C405*2*0.35</f>
        <v>20265</v>
      </c>
      <c r="D402" s="79">
        <f t="shared" si="664"/>
        <v>22785</v>
      </c>
      <c r="E402" s="79">
        <f t="shared" si="664"/>
        <v>25305</v>
      </c>
      <c r="F402" s="79">
        <f t="shared" si="664"/>
        <v>27335</v>
      </c>
      <c r="G402" s="79">
        <f t="shared" si="664"/>
        <v>29364.999999999996</v>
      </c>
      <c r="H402" s="79">
        <f t="shared" si="664"/>
        <v>31394.999999999996</v>
      </c>
      <c r="I402" s="79">
        <f t="shared" si="664"/>
        <v>33425</v>
      </c>
      <c r="J402" s="80">
        <f t="shared" si="653"/>
        <v>443</v>
      </c>
      <c r="K402" s="80">
        <f t="shared" si="654"/>
        <v>475</v>
      </c>
      <c r="L402" s="80">
        <f t="shared" si="655"/>
        <v>569</v>
      </c>
      <c r="M402" s="80">
        <f t="shared" si="656"/>
        <v>658</v>
      </c>
      <c r="N402" s="80">
        <f t="shared" si="657"/>
        <v>734</v>
      </c>
      <c r="O402" s="80">
        <f t="shared" si="658"/>
        <v>810</v>
      </c>
      <c r="P402" s="81"/>
      <c r="Q402" s="81"/>
      <c r="R402" s="81"/>
      <c r="S402" s="81"/>
      <c r="T402" s="81"/>
      <c r="U402" s="81"/>
      <c r="V402" s="81"/>
      <c r="W402" s="81"/>
      <c r="X402" s="81"/>
      <c r="Y402" s="81"/>
      <c r="Z402" s="81"/>
      <c r="AA402" s="81"/>
      <c r="AB402" s="81"/>
      <c r="AC402" s="81"/>
      <c r="AD402" s="81"/>
      <c r="AE402" s="81"/>
      <c r="AF402" s="81"/>
    </row>
    <row r="403" spans="1:32">
      <c r="A403" s="76" t="s">
        <v>1137</v>
      </c>
      <c r="B403" s="79">
        <f>B405*2*0.4</f>
        <v>20280</v>
      </c>
      <c r="C403" s="79">
        <f t="shared" ref="C403:I403" si="665">C405*2*0.4</f>
        <v>23160</v>
      </c>
      <c r="D403" s="79">
        <f t="shared" si="665"/>
        <v>26040</v>
      </c>
      <c r="E403" s="79">
        <f t="shared" si="665"/>
        <v>28920</v>
      </c>
      <c r="F403" s="79">
        <f t="shared" si="665"/>
        <v>31240</v>
      </c>
      <c r="G403" s="79">
        <f t="shared" si="665"/>
        <v>33560</v>
      </c>
      <c r="H403" s="79">
        <f t="shared" si="665"/>
        <v>35880</v>
      </c>
      <c r="I403" s="79">
        <f t="shared" si="665"/>
        <v>38200</v>
      </c>
      <c r="J403" s="80">
        <f t="shared" si="653"/>
        <v>507</v>
      </c>
      <c r="K403" s="80">
        <f t="shared" si="654"/>
        <v>543</v>
      </c>
      <c r="L403" s="80">
        <f t="shared" si="655"/>
        <v>651</v>
      </c>
      <c r="M403" s="80">
        <f t="shared" si="656"/>
        <v>752</v>
      </c>
      <c r="N403" s="80">
        <f t="shared" si="657"/>
        <v>839</v>
      </c>
      <c r="O403" s="80">
        <f t="shared" si="658"/>
        <v>926</v>
      </c>
      <c r="P403" s="81"/>
      <c r="Q403" s="81"/>
      <c r="R403" s="81"/>
      <c r="S403" s="81"/>
      <c r="T403" s="81"/>
      <c r="U403" s="81"/>
      <c r="V403" s="81"/>
      <c r="W403" s="81"/>
      <c r="X403" s="81"/>
      <c r="Y403" s="81"/>
      <c r="Z403" s="81"/>
      <c r="AA403" s="81"/>
      <c r="AB403" s="81"/>
      <c r="AC403" s="81"/>
      <c r="AD403" s="81"/>
      <c r="AE403" s="81"/>
      <c r="AF403" s="81"/>
    </row>
    <row r="404" spans="1:32">
      <c r="A404" s="76" t="s">
        <v>1138</v>
      </c>
      <c r="B404" s="79">
        <f>B405*2*0.45</f>
        <v>22815</v>
      </c>
      <c r="C404" s="79">
        <f t="shared" ref="C404:I404" si="666">C405*2*0.45</f>
        <v>26055</v>
      </c>
      <c r="D404" s="79">
        <f t="shared" si="666"/>
        <v>29295</v>
      </c>
      <c r="E404" s="79">
        <f t="shared" si="666"/>
        <v>32535</v>
      </c>
      <c r="F404" s="79">
        <f t="shared" si="666"/>
        <v>35145</v>
      </c>
      <c r="G404" s="79">
        <f t="shared" si="666"/>
        <v>37755</v>
      </c>
      <c r="H404" s="79">
        <f t="shared" si="666"/>
        <v>40365</v>
      </c>
      <c r="I404" s="79">
        <f t="shared" si="666"/>
        <v>42975</v>
      </c>
      <c r="J404" s="80">
        <f t="shared" si="653"/>
        <v>570</v>
      </c>
      <c r="K404" s="80">
        <f t="shared" si="654"/>
        <v>610</v>
      </c>
      <c r="L404" s="80">
        <f t="shared" si="655"/>
        <v>732</v>
      </c>
      <c r="M404" s="80">
        <f t="shared" si="656"/>
        <v>846</v>
      </c>
      <c r="N404" s="80">
        <f t="shared" si="657"/>
        <v>943</v>
      </c>
      <c r="O404" s="80">
        <f t="shared" si="658"/>
        <v>1041</v>
      </c>
      <c r="P404" s="81"/>
      <c r="Q404" s="81"/>
      <c r="R404" s="81"/>
      <c r="S404" s="81"/>
      <c r="T404" s="81"/>
      <c r="U404" s="81"/>
      <c r="V404" s="81"/>
      <c r="W404" s="81"/>
      <c r="X404" s="81"/>
      <c r="Y404" s="81"/>
      <c r="Z404" s="81"/>
      <c r="AA404" s="81"/>
      <c r="AB404" s="81"/>
      <c r="AC404" s="81"/>
      <c r="AD404" s="81"/>
      <c r="AE404" s="81"/>
      <c r="AF404" s="81"/>
    </row>
    <row r="405" spans="1:32">
      <c r="A405" s="82" t="s">
        <v>1139</v>
      </c>
      <c r="B405" s="84">
        <f>'MTSP 50% Income Limits '!B24</f>
        <v>25350</v>
      </c>
      <c r="C405" s="84">
        <f>'MTSP 50% Income Limits '!C24</f>
        <v>28950</v>
      </c>
      <c r="D405" s="84">
        <f>'MTSP 50% Income Limits '!D24</f>
        <v>32550</v>
      </c>
      <c r="E405" s="84">
        <f>'MTSP 50% Income Limits '!E24</f>
        <v>36150</v>
      </c>
      <c r="F405" s="84">
        <f>'MTSP 50% Income Limits '!F24</f>
        <v>39050</v>
      </c>
      <c r="G405" s="84">
        <f>'MTSP 50% Income Limits '!G24</f>
        <v>41950</v>
      </c>
      <c r="H405" s="84">
        <f>'MTSP 50% Income Limits '!H24</f>
        <v>44850</v>
      </c>
      <c r="I405" s="84">
        <f>'MTSP 50% Income Limits '!I24</f>
        <v>47750</v>
      </c>
      <c r="J405" s="83">
        <f>TRUNC(B405/12*0.3)</f>
        <v>633</v>
      </c>
      <c r="K405" s="83">
        <f>TRUNC((B405+C405)/2/12*0.3)</f>
        <v>678</v>
      </c>
      <c r="L405" s="83">
        <f>TRUNC((D405)/12*0.3)</f>
        <v>813</v>
      </c>
      <c r="M405" s="83">
        <f>TRUNC(((E405+F405)/2)/12*0.3)</f>
        <v>940</v>
      </c>
      <c r="N405" s="83">
        <f>TRUNC(G405/12*0.3)</f>
        <v>1048</v>
      </c>
      <c r="O405" s="83">
        <f>TRUNC(((H405+I405)/2)/12*0.3)</f>
        <v>1157</v>
      </c>
      <c r="P405" s="81"/>
      <c r="Q405" s="81"/>
      <c r="R405" s="81"/>
      <c r="S405" s="81"/>
      <c r="T405" s="81"/>
      <c r="U405" s="81"/>
      <c r="V405" s="81"/>
      <c r="W405" s="81"/>
      <c r="X405" s="81"/>
      <c r="Y405" s="81"/>
      <c r="Z405" s="81"/>
      <c r="AA405" s="81"/>
      <c r="AB405" s="81"/>
      <c r="AC405" s="81"/>
      <c r="AD405" s="81"/>
      <c r="AE405" s="81"/>
      <c r="AF405" s="81"/>
    </row>
    <row r="406" spans="1:32">
      <c r="A406" s="76" t="s">
        <v>1140</v>
      </c>
      <c r="B406" s="79">
        <f>B405*2*0.55</f>
        <v>27885.000000000004</v>
      </c>
      <c r="C406" s="79">
        <f t="shared" ref="C406:I406" si="667">C405*2*0.55</f>
        <v>31845.000000000004</v>
      </c>
      <c r="D406" s="79">
        <f t="shared" si="667"/>
        <v>35805</v>
      </c>
      <c r="E406" s="79">
        <f t="shared" si="667"/>
        <v>39765</v>
      </c>
      <c r="F406" s="79">
        <f t="shared" si="667"/>
        <v>42955</v>
      </c>
      <c r="G406" s="79">
        <f t="shared" si="667"/>
        <v>46145.000000000007</v>
      </c>
      <c r="H406" s="79">
        <f t="shared" si="667"/>
        <v>49335.000000000007</v>
      </c>
      <c r="I406" s="79">
        <f t="shared" si="667"/>
        <v>52525.000000000007</v>
      </c>
      <c r="J406" s="80">
        <f t="shared" ref="J406:J412" si="668">TRUNC(B406/12*0.3)</f>
        <v>697</v>
      </c>
      <c r="K406" s="80">
        <f t="shared" ref="K406:K412" si="669">TRUNC((B406+C406)/2/12*0.3)</f>
        <v>746</v>
      </c>
      <c r="L406" s="80">
        <f t="shared" ref="L406:L412" si="670">TRUNC((D406)/12*0.3)</f>
        <v>895</v>
      </c>
      <c r="M406" s="80">
        <f t="shared" ref="M406:M412" si="671">TRUNC(((E406+F406)/2)/12*0.3)</f>
        <v>1034</v>
      </c>
      <c r="N406" s="80">
        <f t="shared" ref="N406:N412" si="672">TRUNC(G406/12*0.3)</f>
        <v>1153</v>
      </c>
      <c r="O406" s="80">
        <f t="shared" ref="O406:O412" si="673">TRUNC(((H406+I406)/2)/12*0.3)</f>
        <v>1273</v>
      </c>
      <c r="P406" s="81"/>
      <c r="Q406" s="81"/>
      <c r="R406" s="81"/>
      <c r="S406" s="81"/>
      <c r="T406" s="81"/>
      <c r="U406" s="81"/>
      <c r="V406" s="81"/>
      <c r="W406" s="81"/>
      <c r="X406" s="81"/>
      <c r="Y406" s="81"/>
      <c r="Z406" s="81"/>
      <c r="AA406" s="81"/>
      <c r="AB406" s="81"/>
      <c r="AC406" s="81"/>
      <c r="AD406" s="81"/>
      <c r="AE406" s="81"/>
      <c r="AF406" s="81"/>
    </row>
    <row r="407" spans="1:32">
      <c r="A407" s="76" t="s">
        <v>1141</v>
      </c>
      <c r="B407" s="79">
        <f>B405*2*0.6</f>
        <v>30420</v>
      </c>
      <c r="C407" s="79">
        <f t="shared" ref="C407:I407" si="674">C405*2*0.6</f>
        <v>34740</v>
      </c>
      <c r="D407" s="79">
        <f t="shared" si="674"/>
        <v>39060</v>
      </c>
      <c r="E407" s="79">
        <f t="shared" si="674"/>
        <v>43380</v>
      </c>
      <c r="F407" s="79">
        <f t="shared" si="674"/>
        <v>46860</v>
      </c>
      <c r="G407" s="79">
        <f t="shared" si="674"/>
        <v>50340</v>
      </c>
      <c r="H407" s="79">
        <f t="shared" si="674"/>
        <v>53820</v>
      </c>
      <c r="I407" s="79">
        <f t="shared" si="674"/>
        <v>57300</v>
      </c>
      <c r="J407" s="80">
        <f t="shared" si="668"/>
        <v>760</v>
      </c>
      <c r="K407" s="80">
        <f t="shared" si="669"/>
        <v>814</v>
      </c>
      <c r="L407" s="80">
        <f t="shared" si="670"/>
        <v>976</v>
      </c>
      <c r="M407" s="80">
        <f t="shared" si="671"/>
        <v>1128</v>
      </c>
      <c r="N407" s="80">
        <f t="shared" si="672"/>
        <v>1258</v>
      </c>
      <c r="O407" s="80">
        <f t="shared" si="673"/>
        <v>1389</v>
      </c>
      <c r="P407" s="81"/>
      <c r="Q407" s="81"/>
      <c r="R407" s="81"/>
      <c r="S407" s="81"/>
      <c r="T407" s="81"/>
      <c r="U407" s="81"/>
      <c r="V407" s="81"/>
      <c r="W407" s="81"/>
      <c r="X407" s="81"/>
      <c r="Y407" s="81"/>
      <c r="Z407" s="81"/>
      <c r="AA407" s="81"/>
      <c r="AB407" s="81"/>
      <c r="AC407" s="81"/>
      <c r="AD407" s="81"/>
      <c r="AE407" s="81"/>
      <c r="AF407" s="81"/>
    </row>
    <row r="408" spans="1:32">
      <c r="A408" s="76" t="s">
        <v>1142</v>
      </c>
      <c r="B408" s="79">
        <f>B405*2*0.65</f>
        <v>32955</v>
      </c>
      <c r="C408" s="79">
        <f t="shared" ref="C408:I408" si="675">C405*2*0.65</f>
        <v>37635</v>
      </c>
      <c r="D408" s="79">
        <f t="shared" si="675"/>
        <v>42315</v>
      </c>
      <c r="E408" s="79">
        <f t="shared" si="675"/>
        <v>46995</v>
      </c>
      <c r="F408" s="79">
        <f t="shared" si="675"/>
        <v>50765</v>
      </c>
      <c r="G408" s="79">
        <f t="shared" si="675"/>
        <v>54535</v>
      </c>
      <c r="H408" s="79">
        <f t="shared" si="675"/>
        <v>58305</v>
      </c>
      <c r="I408" s="79">
        <f t="shared" si="675"/>
        <v>62075</v>
      </c>
      <c r="J408" s="80">
        <f t="shared" si="668"/>
        <v>823</v>
      </c>
      <c r="K408" s="80">
        <f t="shared" si="669"/>
        <v>882</v>
      </c>
      <c r="L408" s="80">
        <f t="shared" si="670"/>
        <v>1057</v>
      </c>
      <c r="M408" s="80">
        <f t="shared" si="671"/>
        <v>1222</v>
      </c>
      <c r="N408" s="80">
        <f t="shared" si="672"/>
        <v>1363</v>
      </c>
      <c r="O408" s="80">
        <f t="shared" si="673"/>
        <v>1504</v>
      </c>
      <c r="P408" s="81"/>
      <c r="Q408" s="81"/>
      <c r="R408" s="81"/>
      <c r="S408" s="81"/>
      <c r="T408" s="81"/>
      <c r="U408" s="81"/>
      <c r="V408" s="81"/>
      <c r="W408" s="81"/>
      <c r="X408" s="81"/>
      <c r="Y408" s="81"/>
      <c r="Z408" s="81"/>
      <c r="AA408" s="81"/>
      <c r="AB408" s="81"/>
      <c r="AC408" s="81"/>
      <c r="AD408" s="81"/>
      <c r="AE408" s="81"/>
      <c r="AF408" s="81"/>
    </row>
    <row r="409" spans="1:32">
      <c r="A409" s="76" t="s">
        <v>1143</v>
      </c>
      <c r="B409" s="79">
        <f>B405*2*0.7</f>
        <v>35490</v>
      </c>
      <c r="C409" s="79">
        <f t="shared" ref="C409:I409" si="676">C405*2*0.7</f>
        <v>40530</v>
      </c>
      <c r="D409" s="79">
        <f t="shared" si="676"/>
        <v>45570</v>
      </c>
      <c r="E409" s="79">
        <f t="shared" si="676"/>
        <v>50610</v>
      </c>
      <c r="F409" s="79">
        <f t="shared" si="676"/>
        <v>54670</v>
      </c>
      <c r="G409" s="79">
        <f t="shared" si="676"/>
        <v>58729.999999999993</v>
      </c>
      <c r="H409" s="79">
        <f t="shared" si="676"/>
        <v>62789.999999999993</v>
      </c>
      <c r="I409" s="79">
        <f t="shared" si="676"/>
        <v>66850</v>
      </c>
      <c r="J409" s="80">
        <f t="shared" si="668"/>
        <v>887</v>
      </c>
      <c r="K409" s="80">
        <f t="shared" si="669"/>
        <v>950</v>
      </c>
      <c r="L409" s="80">
        <f t="shared" si="670"/>
        <v>1139</v>
      </c>
      <c r="M409" s="80">
        <f t="shared" si="671"/>
        <v>1316</v>
      </c>
      <c r="N409" s="80">
        <f t="shared" si="672"/>
        <v>1468</v>
      </c>
      <c r="O409" s="80">
        <f t="shared" si="673"/>
        <v>1620</v>
      </c>
      <c r="P409" s="81"/>
      <c r="Q409" s="81"/>
      <c r="R409" s="81"/>
      <c r="S409" s="81"/>
      <c r="T409" s="81"/>
      <c r="U409" s="81"/>
      <c r="V409" s="81"/>
      <c r="W409" s="81"/>
      <c r="X409" s="81"/>
      <c r="Y409" s="81"/>
      <c r="Z409" s="81"/>
      <c r="AA409" s="81"/>
      <c r="AB409" s="81"/>
      <c r="AC409" s="81"/>
      <c r="AD409" s="81"/>
      <c r="AE409" s="81"/>
      <c r="AF409" s="81"/>
    </row>
    <row r="410" spans="1:32">
      <c r="A410" s="76" t="s">
        <v>1144</v>
      </c>
      <c r="B410" s="79">
        <f>B405*2*0.75</f>
        <v>38025</v>
      </c>
      <c r="C410" s="79">
        <f t="shared" ref="C410:I410" si="677">C405*2*0.75</f>
        <v>43425</v>
      </c>
      <c r="D410" s="79">
        <f t="shared" si="677"/>
        <v>48825</v>
      </c>
      <c r="E410" s="79">
        <f t="shared" si="677"/>
        <v>54225</v>
      </c>
      <c r="F410" s="79">
        <f t="shared" si="677"/>
        <v>58575</v>
      </c>
      <c r="G410" s="79">
        <f t="shared" si="677"/>
        <v>62925</v>
      </c>
      <c r="H410" s="79">
        <f t="shared" si="677"/>
        <v>67275</v>
      </c>
      <c r="I410" s="79">
        <f t="shared" si="677"/>
        <v>71625</v>
      </c>
      <c r="J410" s="80">
        <f t="shared" si="668"/>
        <v>950</v>
      </c>
      <c r="K410" s="80">
        <f t="shared" si="669"/>
        <v>1018</v>
      </c>
      <c r="L410" s="80">
        <f t="shared" si="670"/>
        <v>1220</v>
      </c>
      <c r="M410" s="80">
        <f t="shared" si="671"/>
        <v>1410</v>
      </c>
      <c r="N410" s="80">
        <f t="shared" si="672"/>
        <v>1573</v>
      </c>
      <c r="O410" s="80">
        <f t="shared" si="673"/>
        <v>1736</v>
      </c>
      <c r="P410" s="81"/>
      <c r="Q410" s="81"/>
      <c r="R410" s="81"/>
      <c r="S410" s="81"/>
      <c r="T410" s="81"/>
      <c r="U410" s="81"/>
      <c r="V410" s="81"/>
      <c r="W410" s="81"/>
      <c r="X410" s="81"/>
      <c r="Y410" s="81"/>
      <c r="Z410" s="81"/>
      <c r="AA410" s="81"/>
      <c r="AB410" s="81"/>
      <c r="AC410" s="81"/>
      <c r="AD410" s="81"/>
      <c r="AE410" s="81"/>
      <c r="AF410" s="81"/>
    </row>
    <row r="411" spans="1:32">
      <c r="A411" s="76" t="s">
        <v>1145</v>
      </c>
      <c r="B411" s="79">
        <f>B405*2*0.8</f>
        <v>40560</v>
      </c>
      <c r="C411" s="79">
        <f t="shared" ref="C411:I411" si="678">C405*2*0.8</f>
        <v>46320</v>
      </c>
      <c r="D411" s="79">
        <f t="shared" si="678"/>
        <v>52080</v>
      </c>
      <c r="E411" s="79">
        <f t="shared" si="678"/>
        <v>57840</v>
      </c>
      <c r="F411" s="79">
        <f t="shared" si="678"/>
        <v>62480</v>
      </c>
      <c r="G411" s="79">
        <f t="shared" si="678"/>
        <v>67120</v>
      </c>
      <c r="H411" s="79">
        <f t="shared" si="678"/>
        <v>71760</v>
      </c>
      <c r="I411" s="79">
        <f t="shared" si="678"/>
        <v>76400</v>
      </c>
      <c r="J411" s="80">
        <f t="shared" si="668"/>
        <v>1014</v>
      </c>
      <c r="K411" s="80">
        <f t="shared" si="669"/>
        <v>1086</v>
      </c>
      <c r="L411" s="80">
        <f t="shared" si="670"/>
        <v>1302</v>
      </c>
      <c r="M411" s="80">
        <f t="shared" si="671"/>
        <v>1504</v>
      </c>
      <c r="N411" s="80">
        <f t="shared" si="672"/>
        <v>1678</v>
      </c>
      <c r="O411" s="80">
        <f t="shared" si="673"/>
        <v>1852</v>
      </c>
      <c r="P411" s="81"/>
      <c r="Q411" s="81"/>
      <c r="R411" s="81"/>
      <c r="S411" s="81"/>
      <c r="T411" s="81"/>
      <c r="U411" s="81"/>
      <c r="V411" s="81"/>
      <c r="W411" s="81"/>
      <c r="X411" s="81"/>
      <c r="Y411" s="81"/>
      <c r="Z411" s="81"/>
      <c r="AA411" s="81"/>
      <c r="AB411" s="81"/>
      <c r="AC411" s="81"/>
      <c r="AD411" s="81"/>
      <c r="AE411" s="81"/>
      <c r="AF411" s="81"/>
    </row>
    <row r="412" spans="1:32">
      <c r="A412" s="76" t="s">
        <v>1146</v>
      </c>
      <c r="B412" s="79">
        <f>B405*2*0.9</f>
        <v>45630</v>
      </c>
      <c r="C412" s="79">
        <f t="shared" ref="C412:I412" si="679">C405*2*0.9</f>
        <v>52110</v>
      </c>
      <c r="D412" s="79">
        <f t="shared" si="679"/>
        <v>58590</v>
      </c>
      <c r="E412" s="79">
        <f t="shared" si="679"/>
        <v>65070</v>
      </c>
      <c r="F412" s="79">
        <f t="shared" si="679"/>
        <v>70290</v>
      </c>
      <c r="G412" s="79">
        <f t="shared" si="679"/>
        <v>75510</v>
      </c>
      <c r="H412" s="79">
        <f t="shared" si="679"/>
        <v>80730</v>
      </c>
      <c r="I412" s="79">
        <f t="shared" si="679"/>
        <v>85950</v>
      </c>
      <c r="J412" s="80">
        <f t="shared" si="668"/>
        <v>1140</v>
      </c>
      <c r="K412" s="80">
        <f t="shared" si="669"/>
        <v>1221</v>
      </c>
      <c r="L412" s="80">
        <f t="shared" si="670"/>
        <v>1464</v>
      </c>
      <c r="M412" s="80">
        <f t="shared" si="671"/>
        <v>1692</v>
      </c>
      <c r="N412" s="80">
        <f t="shared" si="672"/>
        <v>1887</v>
      </c>
      <c r="O412" s="80">
        <f t="shared" si="673"/>
        <v>2083</v>
      </c>
      <c r="P412" s="81"/>
      <c r="Q412" s="81"/>
      <c r="R412" s="81"/>
      <c r="S412" s="81"/>
      <c r="T412" s="81"/>
      <c r="U412" s="81"/>
      <c r="V412" s="81"/>
      <c r="W412" s="81"/>
      <c r="X412" s="81"/>
      <c r="Y412" s="81"/>
      <c r="Z412" s="81"/>
      <c r="AA412" s="81"/>
      <c r="AB412" s="81"/>
      <c r="AC412" s="81"/>
      <c r="AD412" s="81"/>
      <c r="AE412" s="81"/>
      <c r="AF412" s="81"/>
    </row>
    <row r="413" spans="1:32">
      <c r="A413" s="76" t="s">
        <v>1147</v>
      </c>
      <c r="B413" s="79">
        <f>B405*2</f>
        <v>50700</v>
      </c>
      <c r="C413" s="79">
        <f t="shared" ref="C413:I413" si="680">C405*2</f>
        <v>57900</v>
      </c>
      <c r="D413" s="79">
        <f t="shared" si="680"/>
        <v>65100</v>
      </c>
      <c r="E413" s="79">
        <f t="shared" si="680"/>
        <v>72300</v>
      </c>
      <c r="F413" s="79">
        <f t="shared" si="680"/>
        <v>78100</v>
      </c>
      <c r="G413" s="79">
        <f t="shared" si="680"/>
        <v>83900</v>
      </c>
      <c r="H413" s="79">
        <f t="shared" si="680"/>
        <v>89700</v>
      </c>
      <c r="I413" s="79">
        <f t="shared" si="680"/>
        <v>95500</v>
      </c>
      <c r="J413" s="80">
        <f>J405*2</f>
        <v>1266</v>
      </c>
      <c r="K413" s="80">
        <f t="shared" ref="K413:O413" si="681">K405*2</f>
        <v>1356</v>
      </c>
      <c r="L413" s="80">
        <f t="shared" si="681"/>
        <v>1626</v>
      </c>
      <c r="M413" s="80">
        <f t="shared" si="681"/>
        <v>1880</v>
      </c>
      <c r="N413" s="80">
        <f t="shared" si="681"/>
        <v>2096</v>
      </c>
      <c r="O413" s="80">
        <f t="shared" si="681"/>
        <v>2314</v>
      </c>
      <c r="P413" s="81"/>
      <c r="Q413" s="81"/>
      <c r="R413" s="81"/>
      <c r="S413" s="81"/>
      <c r="T413" s="81"/>
      <c r="U413" s="81"/>
      <c r="V413" s="81"/>
      <c r="W413" s="81"/>
      <c r="X413" s="81"/>
      <c r="Y413" s="81"/>
      <c r="Z413" s="81"/>
      <c r="AA413" s="81"/>
      <c r="AB413" s="81"/>
      <c r="AC413" s="81"/>
      <c r="AD413" s="81"/>
      <c r="AE413" s="81"/>
      <c r="AF413" s="81"/>
    </row>
    <row r="414" spans="1:32">
      <c r="A414" s="76" t="s">
        <v>1148</v>
      </c>
      <c r="B414" s="79">
        <f>B405*2*1.1</f>
        <v>55770.000000000007</v>
      </c>
      <c r="C414" s="79">
        <f t="shared" ref="C414:I414" si="682">C405*2*1.1</f>
        <v>63690.000000000007</v>
      </c>
      <c r="D414" s="79">
        <f t="shared" si="682"/>
        <v>71610</v>
      </c>
      <c r="E414" s="79">
        <f t="shared" si="682"/>
        <v>79530</v>
      </c>
      <c r="F414" s="79">
        <f t="shared" si="682"/>
        <v>85910</v>
      </c>
      <c r="G414" s="79">
        <f t="shared" si="682"/>
        <v>92290.000000000015</v>
      </c>
      <c r="H414" s="79">
        <f t="shared" si="682"/>
        <v>98670.000000000015</v>
      </c>
      <c r="I414" s="79">
        <f t="shared" si="682"/>
        <v>105050.00000000001</v>
      </c>
      <c r="J414" s="80">
        <f t="shared" ref="J414:J422" si="683">TRUNC(B414/12*0.3)</f>
        <v>1394</v>
      </c>
      <c r="K414" s="80">
        <f t="shared" ref="K414:K422" si="684">TRUNC((B414+C414)/2/12*0.3)</f>
        <v>1493</v>
      </c>
      <c r="L414" s="80">
        <f t="shared" ref="L414:L422" si="685">TRUNC((D414)/12*0.3)</f>
        <v>1790</v>
      </c>
      <c r="M414" s="80">
        <f t="shared" ref="M414:M422" si="686">TRUNC(((E414+F414)/2)/12*0.3)</f>
        <v>2068</v>
      </c>
      <c r="N414" s="80">
        <f t="shared" ref="N414:N422" si="687">TRUNC(G414/12*0.3)</f>
        <v>2307</v>
      </c>
      <c r="O414" s="80">
        <f t="shared" ref="O414:O422" si="688">TRUNC(((H414+I414)/2)/12*0.3)</f>
        <v>2546</v>
      </c>
      <c r="P414" s="81"/>
      <c r="Q414" s="81"/>
      <c r="R414" s="81"/>
      <c r="S414" s="81"/>
      <c r="T414" s="81"/>
      <c r="U414" s="81"/>
      <c r="V414" s="81"/>
      <c r="W414" s="81"/>
      <c r="X414" s="81"/>
      <c r="Y414" s="81"/>
      <c r="Z414" s="81"/>
      <c r="AA414" s="81"/>
      <c r="AB414" s="81"/>
      <c r="AC414" s="81"/>
      <c r="AD414" s="81"/>
      <c r="AE414" s="81"/>
      <c r="AF414" s="81"/>
    </row>
    <row r="415" spans="1:32">
      <c r="A415" s="76" t="s">
        <v>1149</v>
      </c>
      <c r="B415" s="79">
        <f>B405*2*1.2</f>
        <v>60840</v>
      </c>
      <c r="C415" s="79">
        <f t="shared" ref="C415:I415" si="689">C405*2*1.2</f>
        <v>69480</v>
      </c>
      <c r="D415" s="79">
        <f t="shared" si="689"/>
        <v>78120</v>
      </c>
      <c r="E415" s="79">
        <f t="shared" si="689"/>
        <v>86760</v>
      </c>
      <c r="F415" s="79">
        <f t="shared" si="689"/>
        <v>93720</v>
      </c>
      <c r="G415" s="79">
        <f t="shared" si="689"/>
        <v>100680</v>
      </c>
      <c r="H415" s="79">
        <f t="shared" si="689"/>
        <v>107640</v>
      </c>
      <c r="I415" s="79">
        <f t="shared" si="689"/>
        <v>114600</v>
      </c>
      <c r="J415" s="80">
        <f t="shared" si="683"/>
        <v>1521</v>
      </c>
      <c r="K415" s="80">
        <f t="shared" si="684"/>
        <v>1629</v>
      </c>
      <c r="L415" s="80">
        <f t="shared" si="685"/>
        <v>1953</v>
      </c>
      <c r="M415" s="80">
        <f t="shared" si="686"/>
        <v>2256</v>
      </c>
      <c r="N415" s="80">
        <f t="shared" si="687"/>
        <v>2517</v>
      </c>
      <c r="O415" s="80">
        <f t="shared" si="688"/>
        <v>2778</v>
      </c>
      <c r="P415" s="81"/>
      <c r="Q415" s="81"/>
      <c r="R415" s="81"/>
      <c r="S415" s="81"/>
      <c r="T415" s="81"/>
      <c r="U415" s="81"/>
      <c r="V415" s="81"/>
      <c r="W415" s="81"/>
      <c r="X415" s="81"/>
      <c r="Y415" s="81"/>
      <c r="Z415" s="81"/>
      <c r="AA415" s="81"/>
      <c r="AB415" s="81"/>
      <c r="AC415" s="81"/>
      <c r="AD415" s="81"/>
      <c r="AE415" s="81"/>
      <c r="AF415" s="81"/>
    </row>
    <row r="416" spans="1:32">
      <c r="A416" s="76" t="s">
        <v>1150</v>
      </c>
      <c r="B416" s="79">
        <f>B423*2*0.15</f>
        <v>7320</v>
      </c>
      <c r="C416" s="79">
        <f>C423*2*0.15</f>
        <v>8370</v>
      </c>
      <c r="D416" s="79">
        <f>D423*2*0.15</f>
        <v>9420</v>
      </c>
      <c r="E416" s="79">
        <f>E423*2*0.15</f>
        <v>10455</v>
      </c>
      <c r="F416" s="79">
        <f>F423*2*0.15</f>
        <v>11295</v>
      </c>
      <c r="G416" s="79">
        <f t="shared" ref="G416:I416" si="690">G423*2*0.15</f>
        <v>12135</v>
      </c>
      <c r="H416" s="79">
        <f t="shared" si="690"/>
        <v>12975</v>
      </c>
      <c r="I416" s="79">
        <f t="shared" si="690"/>
        <v>13815</v>
      </c>
      <c r="J416" s="80">
        <f t="shared" si="683"/>
        <v>183</v>
      </c>
      <c r="K416" s="80">
        <f t="shared" si="684"/>
        <v>196</v>
      </c>
      <c r="L416" s="80">
        <f t="shared" si="685"/>
        <v>235</v>
      </c>
      <c r="M416" s="80">
        <f t="shared" si="686"/>
        <v>271</v>
      </c>
      <c r="N416" s="80">
        <f t="shared" si="687"/>
        <v>303</v>
      </c>
      <c r="O416" s="80">
        <f t="shared" si="688"/>
        <v>334</v>
      </c>
      <c r="P416" s="81"/>
      <c r="Q416" s="81"/>
      <c r="R416" s="81"/>
      <c r="S416" s="81"/>
      <c r="T416" s="81"/>
      <c r="U416" s="81"/>
      <c r="V416" s="81"/>
      <c r="W416" s="81"/>
      <c r="X416" s="81"/>
      <c r="Y416" s="81"/>
      <c r="Z416" s="81"/>
      <c r="AA416" s="81"/>
      <c r="AB416" s="81"/>
      <c r="AC416" s="81"/>
      <c r="AD416" s="81"/>
      <c r="AE416" s="81"/>
      <c r="AF416" s="81"/>
    </row>
    <row r="417" spans="1:32">
      <c r="A417" s="76" t="s">
        <v>1151</v>
      </c>
      <c r="B417" s="79">
        <f>B423*2*0.2</f>
        <v>9760</v>
      </c>
      <c r="C417" s="79">
        <f t="shared" ref="C417:I417" si="691">C423*2*0.2</f>
        <v>11160</v>
      </c>
      <c r="D417" s="79">
        <f t="shared" si="691"/>
        <v>12560</v>
      </c>
      <c r="E417" s="79">
        <f t="shared" si="691"/>
        <v>13940</v>
      </c>
      <c r="F417" s="79">
        <f t="shared" si="691"/>
        <v>15060</v>
      </c>
      <c r="G417" s="79">
        <f t="shared" si="691"/>
        <v>16180</v>
      </c>
      <c r="H417" s="79">
        <f t="shared" si="691"/>
        <v>17300</v>
      </c>
      <c r="I417" s="79">
        <f t="shared" si="691"/>
        <v>18420</v>
      </c>
      <c r="J417" s="80">
        <f t="shared" si="683"/>
        <v>244</v>
      </c>
      <c r="K417" s="80">
        <f t="shared" si="684"/>
        <v>261</v>
      </c>
      <c r="L417" s="80">
        <f t="shared" si="685"/>
        <v>314</v>
      </c>
      <c r="M417" s="80">
        <f t="shared" si="686"/>
        <v>362</v>
      </c>
      <c r="N417" s="80">
        <f t="shared" si="687"/>
        <v>404</v>
      </c>
      <c r="O417" s="80">
        <f t="shared" si="688"/>
        <v>446</v>
      </c>
      <c r="P417" s="81"/>
      <c r="Q417" s="81"/>
      <c r="R417" s="81"/>
      <c r="S417" s="81"/>
      <c r="T417" s="81"/>
      <c r="U417" s="81"/>
      <c r="V417" s="81"/>
      <c r="W417" s="81"/>
      <c r="X417" s="81"/>
      <c r="Y417" s="81"/>
      <c r="Z417" s="81"/>
      <c r="AA417" s="81"/>
      <c r="AB417" s="81"/>
      <c r="AC417" s="81"/>
      <c r="AD417" s="81"/>
      <c r="AE417" s="81"/>
      <c r="AF417" s="81"/>
    </row>
    <row r="418" spans="1:32">
      <c r="A418" s="76" t="s">
        <v>1152</v>
      </c>
      <c r="B418" s="79">
        <f>B423*2*0.25</f>
        <v>12200</v>
      </c>
      <c r="C418" s="79">
        <f t="shared" ref="C418:I418" si="692">C423*2*0.25</f>
        <v>13950</v>
      </c>
      <c r="D418" s="79">
        <f t="shared" si="692"/>
        <v>15700</v>
      </c>
      <c r="E418" s="79">
        <f t="shared" si="692"/>
        <v>17425</v>
      </c>
      <c r="F418" s="79">
        <f t="shared" si="692"/>
        <v>18825</v>
      </c>
      <c r="G418" s="79">
        <f t="shared" si="692"/>
        <v>20225</v>
      </c>
      <c r="H418" s="79">
        <f t="shared" si="692"/>
        <v>21625</v>
      </c>
      <c r="I418" s="79">
        <f t="shared" si="692"/>
        <v>23025</v>
      </c>
      <c r="J418" s="80">
        <f t="shared" si="683"/>
        <v>305</v>
      </c>
      <c r="K418" s="80">
        <f t="shared" si="684"/>
        <v>326</v>
      </c>
      <c r="L418" s="80">
        <f t="shared" si="685"/>
        <v>392</v>
      </c>
      <c r="M418" s="80">
        <f t="shared" si="686"/>
        <v>453</v>
      </c>
      <c r="N418" s="80">
        <f t="shared" si="687"/>
        <v>505</v>
      </c>
      <c r="O418" s="80">
        <f t="shared" si="688"/>
        <v>558</v>
      </c>
      <c r="P418" s="81"/>
      <c r="Q418" s="81"/>
      <c r="R418" s="81"/>
      <c r="S418" s="81"/>
      <c r="T418" s="81"/>
      <c r="U418" s="81"/>
      <c r="V418" s="81"/>
      <c r="W418" s="81"/>
      <c r="X418" s="81"/>
      <c r="Y418" s="81"/>
      <c r="Z418" s="81"/>
      <c r="AA418" s="81"/>
      <c r="AB418" s="81"/>
      <c r="AC418" s="81"/>
      <c r="AD418" s="81"/>
      <c r="AE418" s="81"/>
      <c r="AF418" s="81"/>
    </row>
    <row r="419" spans="1:32">
      <c r="A419" s="76" t="s">
        <v>1153</v>
      </c>
      <c r="B419" s="79">
        <f>B423*2*0.3</f>
        <v>14640</v>
      </c>
      <c r="C419" s="79">
        <f t="shared" ref="C419:I419" si="693">C423*2*0.3</f>
        <v>16740</v>
      </c>
      <c r="D419" s="79">
        <f t="shared" si="693"/>
        <v>18840</v>
      </c>
      <c r="E419" s="79">
        <f t="shared" si="693"/>
        <v>20910</v>
      </c>
      <c r="F419" s="79">
        <f t="shared" si="693"/>
        <v>22590</v>
      </c>
      <c r="G419" s="79">
        <f t="shared" si="693"/>
        <v>24270</v>
      </c>
      <c r="H419" s="79">
        <f t="shared" si="693"/>
        <v>25950</v>
      </c>
      <c r="I419" s="79">
        <f t="shared" si="693"/>
        <v>27630</v>
      </c>
      <c r="J419" s="80">
        <f t="shared" si="683"/>
        <v>366</v>
      </c>
      <c r="K419" s="80">
        <f t="shared" si="684"/>
        <v>392</v>
      </c>
      <c r="L419" s="80">
        <f t="shared" si="685"/>
        <v>471</v>
      </c>
      <c r="M419" s="80">
        <f t="shared" si="686"/>
        <v>543</v>
      </c>
      <c r="N419" s="80">
        <f t="shared" si="687"/>
        <v>606</v>
      </c>
      <c r="O419" s="80">
        <f t="shared" si="688"/>
        <v>669</v>
      </c>
      <c r="P419" s="81"/>
      <c r="Q419" s="81"/>
      <c r="R419" s="81"/>
      <c r="S419" s="81"/>
      <c r="T419" s="81"/>
      <c r="U419" s="81"/>
      <c r="V419" s="81"/>
      <c r="W419" s="81"/>
      <c r="X419" s="81"/>
      <c r="Y419" s="81"/>
      <c r="Z419" s="81"/>
      <c r="AA419" s="81"/>
      <c r="AB419" s="81"/>
      <c r="AC419" s="81"/>
      <c r="AD419" s="81"/>
      <c r="AE419" s="81"/>
      <c r="AF419" s="81"/>
    </row>
    <row r="420" spans="1:32">
      <c r="A420" s="76" t="s">
        <v>1154</v>
      </c>
      <c r="B420" s="79">
        <f>B423*2*0.35</f>
        <v>17080</v>
      </c>
      <c r="C420" s="79">
        <f t="shared" ref="C420:I420" si="694">C423*2*0.35</f>
        <v>19530</v>
      </c>
      <c r="D420" s="79">
        <f t="shared" si="694"/>
        <v>21980</v>
      </c>
      <c r="E420" s="79">
        <f t="shared" si="694"/>
        <v>24395</v>
      </c>
      <c r="F420" s="79">
        <f t="shared" si="694"/>
        <v>26355</v>
      </c>
      <c r="G420" s="79">
        <f t="shared" si="694"/>
        <v>28315</v>
      </c>
      <c r="H420" s="79">
        <f t="shared" si="694"/>
        <v>30274.999999999996</v>
      </c>
      <c r="I420" s="79">
        <f t="shared" si="694"/>
        <v>32234.999999999996</v>
      </c>
      <c r="J420" s="80">
        <f t="shared" si="683"/>
        <v>427</v>
      </c>
      <c r="K420" s="80">
        <f t="shared" si="684"/>
        <v>457</v>
      </c>
      <c r="L420" s="80">
        <f t="shared" si="685"/>
        <v>549</v>
      </c>
      <c r="M420" s="80">
        <f t="shared" si="686"/>
        <v>634</v>
      </c>
      <c r="N420" s="80">
        <f t="shared" si="687"/>
        <v>707</v>
      </c>
      <c r="O420" s="80">
        <f t="shared" si="688"/>
        <v>781</v>
      </c>
      <c r="P420" s="81"/>
      <c r="Q420" s="81"/>
      <c r="R420" s="81"/>
      <c r="S420" s="81"/>
      <c r="T420" s="81"/>
      <c r="U420" s="81"/>
      <c r="V420" s="81"/>
      <c r="W420" s="81"/>
      <c r="X420" s="81"/>
      <c r="Y420" s="81"/>
      <c r="Z420" s="81"/>
      <c r="AA420" s="81"/>
      <c r="AB420" s="81"/>
      <c r="AC420" s="81"/>
      <c r="AD420" s="81"/>
      <c r="AE420" s="81"/>
      <c r="AF420" s="81"/>
    </row>
    <row r="421" spans="1:32">
      <c r="A421" s="76" t="s">
        <v>1155</v>
      </c>
      <c r="B421" s="79">
        <f>B423*2*0.4</f>
        <v>19520</v>
      </c>
      <c r="C421" s="79">
        <f t="shared" ref="C421:I421" si="695">C423*2*0.4</f>
        <v>22320</v>
      </c>
      <c r="D421" s="79">
        <f t="shared" si="695"/>
        <v>25120</v>
      </c>
      <c r="E421" s="79">
        <f t="shared" si="695"/>
        <v>27880</v>
      </c>
      <c r="F421" s="79">
        <f t="shared" si="695"/>
        <v>30120</v>
      </c>
      <c r="G421" s="79">
        <f t="shared" si="695"/>
        <v>32360</v>
      </c>
      <c r="H421" s="79">
        <f t="shared" si="695"/>
        <v>34600</v>
      </c>
      <c r="I421" s="79">
        <f t="shared" si="695"/>
        <v>36840</v>
      </c>
      <c r="J421" s="80">
        <f t="shared" si="683"/>
        <v>488</v>
      </c>
      <c r="K421" s="80">
        <f t="shared" si="684"/>
        <v>523</v>
      </c>
      <c r="L421" s="80">
        <f t="shared" si="685"/>
        <v>628</v>
      </c>
      <c r="M421" s="80">
        <f t="shared" si="686"/>
        <v>725</v>
      </c>
      <c r="N421" s="80">
        <f t="shared" si="687"/>
        <v>809</v>
      </c>
      <c r="O421" s="80">
        <f t="shared" si="688"/>
        <v>893</v>
      </c>
      <c r="P421" s="81"/>
      <c r="Q421" s="81"/>
      <c r="R421" s="81"/>
      <c r="S421" s="81"/>
      <c r="T421" s="81"/>
      <c r="U421" s="81"/>
      <c r="V421" s="81"/>
      <c r="W421" s="81"/>
      <c r="X421" s="81"/>
      <c r="Y421" s="81"/>
      <c r="Z421" s="81"/>
      <c r="AA421" s="81"/>
      <c r="AB421" s="81"/>
      <c r="AC421" s="81"/>
      <c r="AD421" s="81"/>
      <c r="AE421" s="81"/>
      <c r="AF421" s="81"/>
    </row>
    <row r="422" spans="1:32">
      <c r="A422" s="76" t="s">
        <v>1156</v>
      </c>
      <c r="B422" s="79">
        <f>B423*2*0.45</f>
        <v>21960</v>
      </c>
      <c r="C422" s="79">
        <f t="shared" ref="C422:I422" si="696">C423*2*0.45</f>
        <v>25110</v>
      </c>
      <c r="D422" s="79">
        <f t="shared" si="696"/>
        <v>28260</v>
      </c>
      <c r="E422" s="79">
        <f t="shared" si="696"/>
        <v>31365</v>
      </c>
      <c r="F422" s="79">
        <f t="shared" si="696"/>
        <v>33885</v>
      </c>
      <c r="G422" s="79">
        <f t="shared" si="696"/>
        <v>36405</v>
      </c>
      <c r="H422" s="79">
        <f t="shared" si="696"/>
        <v>38925</v>
      </c>
      <c r="I422" s="79">
        <f t="shared" si="696"/>
        <v>41445</v>
      </c>
      <c r="J422" s="80">
        <f t="shared" si="683"/>
        <v>549</v>
      </c>
      <c r="K422" s="80">
        <f t="shared" si="684"/>
        <v>588</v>
      </c>
      <c r="L422" s="80">
        <f t="shared" si="685"/>
        <v>706</v>
      </c>
      <c r="M422" s="80">
        <f t="shared" si="686"/>
        <v>815</v>
      </c>
      <c r="N422" s="80">
        <f t="shared" si="687"/>
        <v>910</v>
      </c>
      <c r="O422" s="80">
        <f t="shared" si="688"/>
        <v>1004</v>
      </c>
      <c r="P422" s="81"/>
      <c r="Q422" s="81"/>
      <c r="R422" s="81"/>
      <c r="S422" s="81"/>
      <c r="T422" s="81"/>
      <c r="U422" s="81"/>
      <c r="V422" s="81"/>
      <c r="W422" s="81"/>
      <c r="X422" s="81"/>
      <c r="Y422" s="81"/>
      <c r="Z422" s="81"/>
      <c r="AA422" s="81"/>
      <c r="AB422" s="81"/>
      <c r="AC422" s="81"/>
      <c r="AD422" s="81"/>
      <c r="AE422" s="81"/>
      <c r="AF422" s="81"/>
    </row>
    <row r="423" spans="1:32">
      <c r="A423" s="82" t="s">
        <v>1157</v>
      </c>
      <c r="B423" s="84">
        <f>'MTSP 50% Income Limits '!B25</f>
        <v>24400</v>
      </c>
      <c r="C423" s="84">
        <f>'MTSP 50% Income Limits '!C25</f>
        <v>27900</v>
      </c>
      <c r="D423" s="84">
        <f>'MTSP 50% Income Limits '!D25</f>
        <v>31400</v>
      </c>
      <c r="E423" s="84">
        <f>'MTSP 50% Income Limits '!E25</f>
        <v>34850</v>
      </c>
      <c r="F423" s="84">
        <f>'MTSP 50% Income Limits '!F25</f>
        <v>37650</v>
      </c>
      <c r="G423" s="84">
        <f>'MTSP 50% Income Limits '!G25</f>
        <v>40450</v>
      </c>
      <c r="H423" s="84">
        <f>'MTSP 50% Income Limits '!H25</f>
        <v>43250</v>
      </c>
      <c r="I423" s="84">
        <f>'MTSP 50% Income Limits '!I25</f>
        <v>46050</v>
      </c>
      <c r="J423" s="83">
        <f>TRUNC(B423/12*0.3)</f>
        <v>610</v>
      </c>
      <c r="K423" s="83">
        <f>TRUNC((B423+C423)/2/12*0.3)</f>
        <v>653</v>
      </c>
      <c r="L423" s="83">
        <f>TRUNC((D423)/12*0.3)</f>
        <v>785</v>
      </c>
      <c r="M423" s="83">
        <f>TRUNC(((E423+F423)/2)/12*0.3)</f>
        <v>906</v>
      </c>
      <c r="N423" s="83">
        <f>TRUNC(G423/12*0.3)</f>
        <v>1011</v>
      </c>
      <c r="O423" s="83">
        <f>TRUNC(((H423+I423)/2)/12*0.3)</f>
        <v>1116</v>
      </c>
      <c r="P423" s="81"/>
      <c r="Q423" s="81"/>
      <c r="R423" s="81"/>
      <c r="S423" s="81"/>
      <c r="T423" s="81"/>
      <c r="U423" s="81"/>
      <c r="V423" s="81"/>
      <c r="W423" s="81"/>
      <c r="X423" s="81"/>
      <c r="Y423" s="81"/>
      <c r="Z423" s="81"/>
      <c r="AA423" s="81"/>
      <c r="AB423" s="81"/>
      <c r="AC423" s="81"/>
      <c r="AD423" s="81"/>
      <c r="AE423" s="81"/>
      <c r="AF423" s="81"/>
    </row>
    <row r="424" spans="1:32">
      <c r="A424" s="76" t="s">
        <v>1158</v>
      </c>
      <c r="B424" s="79">
        <f>B423*2*0.55</f>
        <v>26840.000000000004</v>
      </c>
      <c r="C424" s="79">
        <f t="shared" ref="C424:I424" si="697">C423*2*0.55</f>
        <v>30690.000000000004</v>
      </c>
      <c r="D424" s="79">
        <f t="shared" si="697"/>
        <v>34540</v>
      </c>
      <c r="E424" s="79">
        <f t="shared" si="697"/>
        <v>38335</v>
      </c>
      <c r="F424" s="79">
        <f t="shared" si="697"/>
        <v>41415</v>
      </c>
      <c r="G424" s="79">
        <f t="shared" si="697"/>
        <v>44495</v>
      </c>
      <c r="H424" s="79">
        <f t="shared" si="697"/>
        <v>47575.000000000007</v>
      </c>
      <c r="I424" s="79">
        <f t="shared" si="697"/>
        <v>50655.000000000007</v>
      </c>
      <c r="J424" s="80">
        <f t="shared" ref="J424:J430" si="698">TRUNC(B424/12*0.3)</f>
        <v>671</v>
      </c>
      <c r="K424" s="80">
        <f t="shared" ref="K424:K430" si="699">TRUNC((B424+C424)/2/12*0.3)</f>
        <v>719</v>
      </c>
      <c r="L424" s="80">
        <f t="shared" ref="L424:L430" si="700">TRUNC((D424)/12*0.3)</f>
        <v>863</v>
      </c>
      <c r="M424" s="80">
        <f t="shared" ref="M424:M430" si="701">TRUNC(((E424+F424)/2)/12*0.3)</f>
        <v>996</v>
      </c>
      <c r="N424" s="80">
        <f t="shared" ref="N424:N430" si="702">TRUNC(G424/12*0.3)</f>
        <v>1112</v>
      </c>
      <c r="O424" s="80">
        <f t="shared" ref="O424:O430" si="703">TRUNC(((H424+I424)/2)/12*0.3)</f>
        <v>1227</v>
      </c>
      <c r="P424" s="81"/>
      <c r="Q424" s="81"/>
      <c r="R424" s="81"/>
      <c r="S424" s="81"/>
      <c r="T424" s="81"/>
      <c r="U424" s="81"/>
      <c r="V424" s="81"/>
      <c r="W424" s="81"/>
      <c r="X424" s="81"/>
      <c r="Y424" s="81"/>
      <c r="Z424" s="81"/>
      <c r="AA424" s="81"/>
      <c r="AB424" s="81"/>
      <c r="AC424" s="81"/>
      <c r="AD424" s="81"/>
      <c r="AE424" s="81"/>
      <c r="AF424" s="81"/>
    </row>
    <row r="425" spans="1:32">
      <c r="A425" s="76" t="s">
        <v>1159</v>
      </c>
      <c r="B425" s="79">
        <f>B423*2*0.6</f>
        <v>29280</v>
      </c>
      <c r="C425" s="79">
        <f t="shared" ref="C425:I425" si="704">C423*2*0.6</f>
        <v>33480</v>
      </c>
      <c r="D425" s="79">
        <f t="shared" si="704"/>
        <v>37680</v>
      </c>
      <c r="E425" s="79">
        <f t="shared" si="704"/>
        <v>41820</v>
      </c>
      <c r="F425" s="79">
        <f t="shared" si="704"/>
        <v>45180</v>
      </c>
      <c r="G425" s="79">
        <f t="shared" si="704"/>
        <v>48540</v>
      </c>
      <c r="H425" s="79">
        <f t="shared" si="704"/>
        <v>51900</v>
      </c>
      <c r="I425" s="79">
        <f t="shared" si="704"/>
        <v>55260</v>
      </c>
      <c r="J425" s="80">
        <f t="shared" si="698"/>
        <v>732</v>
      </c>
      <c r="K425" s="80">
        <f t="shared" si="699"/>
        <v>784</v>
      </c>
      <c r="L425" s="80">
        <f t="shared" si="700"/>
        <v>942</v>
      </c>
      <c r="M425" s="80">
        <f t="shared" si="701"/>
        <v>1087</v>
      </c>
      <c r="N425" s="80">
        <f t="shared" si="702"/>
        <v>1213</v>
      </c>
      <c r="O425" s="80">
        <f t="shared" si="703"/>
        <v>1339</v>
      </c>
      <c r="P425" s="81"/>
      <c r="Q425" s="81"/>
      <c r="R425" s="81"/>
      <c r="S425" s="81"/>
      <c r="T425" s="81"/>
      <c r="U425" s="81"/>
      <c r="V425" s="81"/>
      <c r="W425" s="81"/>
      <c r="X425" s="81"/>
      <c r="Y425" s="81"/>
      <c r="Z425" s="81"/>
      <c r="AA425" s="81"/>
      <c r="AB425" s="81"/>
      <c r="AC425" s="81"/>
      <c r="AD425" s="81"/>
      <c r="AE425" s="81"/>
      <c r="AF425" s="81"/>
    </row>
    <row r="426" spans="1:32">
      <c r="A426" s="76" t="s">
        <v>1160</v>
      </c>
      <c r="B426" s="79">
        <f>B423*2*0.65</f>
        <v>31720</v>
      </c>
      <c r="C426" s="79">
        <f t="shared" ref="C426:I426" si="705">C423*2*0.65</f>
        <v>36270</v>
      </c>
      <c r="D426" s="79">
        <f t="shared" si="705"/>
        <v>40820</v>
      </c>
      <c r="E426" s="79">
        <f t="shared" si="705"/>
        <v>45305</v>
      </c>
      <c r="F426" s="79">
        <f t="shared" si="705"/>
        <v>48945</v>
      </c>
      <c r="G426" s="79">
        <f t="shared" si="705"/>
        <v>52585</v>
      </c>
      <c r="H426" s="79">
        <f t="shared" si="705"/>
        <v>56225</v>
      </c>
      <c r="I426" s="79">
        <f t="shared" si="705"/>
        <v>59865</v>
      </c>
      <c r="J426" s="80">
        <f t="shared" si="698"/>
        <v>793</v>
      </c>
      <c r="K426" s="80">
        <f t="shared" si="699"/>
        <v>849</v>
      </c>
      <c r="L426" s="80">
        <f t="shared" si="700"/>
        <v>1020</v>
      </c>
      <c r="M426" s="80">
        <f t="shared" si="701"/>
        <v>1178</v>
      </c>
      <c r="N426" s="80">
        <f t="shared" si="702"/>
        <v>1314</v>
      </c>
      <c r="O426" s="80">
        <f t="shared" si="703"/>
        <v>1451</v>
      </c>
      <c r="P426" s="81"/>
      <c r="Q426" s="81"/>
      <c r="R426" s="81"/>
      <c r="S426" s="81"/>
      <c r="T426" s="81"/>
      <c r="U426" s="81"/>
      <c r="V426" s="81"/>
      <c r="W426" s="81"/>
      <c r="X426" s="81"/>
      <c r="Y426" s="81"/>
      <c r="Z426" s="81"/>
      <c r="AA426" s="81"/>
      <c r="AB426" s="81"/>
      <c r="AC426" s="81"/>
      <c r="AD426" s="81"/>
      <c r="AE426" s="81"/>
      <c r="AF426" s="81"/>
    </row>
    <row r="427" spans="1:32">
      <c r="A427" s="76" t="s">
        <v>1161</v>
      </c>
      <c r="B427" s="79">
        <f>B423*2*0.7</f>
        <v>34160</v>
      </c>
      <c r="C427" s="79">
        <f t="shared" ref="C427:I427" si="706">C423*2*0.7</f>
        <v>39060</v>
      </c>
      <c r="D427" s="79">
        <f t="shared" si="706"/>
        <v>43960</v>
      </c>
      <c r="E427" s="79">
        <f t="shared" si="706"/>
        <v>48790</v>
      </c>
      <c r="F427" s="79">
        <f t="shared" si="706"/>
        <v>52710</v>
      </c>
      <c r="G427" s="79">
        <f t="shared" si="706"/>
        <v>56630</v>
      </c>
      <c r="H427" s="79">
        <f t="shared" si="706"/>
        <v>60549.999999999993</v>
      </c>
      <c r="I427" s="79">
        <f t="shared" si="706"/>
        <v>64469.999999999993</v>
      </c>
      <c r="J427" s="80">
        <f t="shared" si="698"/>
        <v>854</v>
      </c>
      <c r="K427" s="80">
        <f t="shared" si="699"/>
        <v>915</v>
      </c>
      <c r="L427" s="80">
        <f t="shared" si="700"/>
        <v>1099</v>
      </c>
      <c r="M427" s="80">
        <f t="shared" si="701"/>
        <v>1268</v>
      </c>
      <c r="N427" s="80">
        <f t="shared" si="702"/>
        <v>1415</v>
      </c>
      <c r="O427" s="80">
        <f t="shared" si="703"/>
        <v>1562</v>
      </c>
      <c r="P427" s="81"/>
      <c r="Q427" s="81"/>
      <c r="R427" s="81"/>
      <c r="S427" s="81"/>
      <c r="T427" s="81"/>
      <c r="U427" s="81"/>
      <c r="V427" s="81"/>
      <c r="W427" s="81"/>
      <c r="X427" s="81"/>
      <c r="Y427" s="81"/>
      <c r="Z427" s="81"/>
      <c r="AA427" s="81"/>
      <c r="AB427" s="81"/>
      <c r="AC427" s="81"/>
      <c r="AD427" s="81"/>
      <c r="AE427" s="81"/>
      <c r="AF427" s="81"/>
    </row>
    <row r="428" spans="1:32">
      <c r="A428" s="76" t="s">
        <v>1162</v>
      </c>
      <c r="B428" s="79">
        <f>B423*2*0.75</f>
        <v>36600</v>
      </c>
      <c r="C428" s="79">
        <f t="shared" ref="C428:I428" si="707">C423*2*0.75</f>
        <v>41850</v>
      </c>
      <c r="D428" s="79">
        <f t="shared" si="707"/>
        <v>47100</v>
      </c>
      <c r="E428" s="79">
        <f t="shared" si="707"/>
        <v>52275</v>
      </c>
      <c r="F428" s="79">
        <f t="shared" si="707"/>
        <v>56475</v>
      </c>
      <c r="G428" s="79">
        <f t="shared" si="707"/>
        <v>60675</v>
      </c>
      <c r="H428" s="79">
        <f t="shared" si="707"/>
        <v>64875</v>
      </c>
      <c r="I428" s="79">
        <f t="shared" si="707"/>
        <v>69075</v>
      </c>
      <c r="J428" s="80">
        <f t="shared" si="698"/>
        <v>915</v>
      </c>
      <c r="K428" s="80">
        <f t="shared" si="699"/>
        <v>980</v>
      </c>
      <c r="L428" s="80">
        <f t="shared" si="700"/>
        <v>1177</v>
      </c>
      <c r="M428" s="80">
        <f t="shared" si="701"/>
        <v>1359</v>
      </c>
      <c r="N428" s="80">
        <f t="shared" si="702"/>
        <v>1516</v>
      </c>
      <c r="O428" s="80">
        <f t="shared" si="703"/>
        <v>1674</v>
      </c>
      <c r="P428" s="81"/>
      <c r="Q428" s="81"/>
      <c r="R428" s="81"/>
      <c r="S428" s="81"/>
      <c r="T428" s="81"/>
      <c r="U428" s="81"/>
      <c r="V428" s="81"/>
      <c r="W428" s="81"/>
      <c r="X428" s="81"/>
      <c r="Y428" s="81"/>
      <c r="Z428" s="81"/>
      <c r="AA428" s="81"/>
      <c r="AB428" s="81"/>
      <c r="AC428" s="81"/>
      <c r="AD428" s="81"/>
      <c r="AE428" s="81"/>
      <c r="AF428" s="81"/>
    </row>
    <row r="429" spans="1:32">
      <c r="A429" s="76" t="s">
        <v>1163</v>
      </c>
      <c r="B429" s="79">
        <f>B423*2*0.8</f>
        <v>39040</v>
      </c>
      <c r="C429" s="79">
        <f t="shared" ref="C429:I429" si="708">C423*2*0.8</f>
        <v>44640</v>
      </c>
      <c r="D429" s="79">
        <f t="shared" si="708"/>
        <v>50240</v>
      </c>
      <c r="E429" s="79">
        <f t="shared" si="708"/>
        <v>55760</v>
      </c>
      <c r="F429" s="79">
        <f t="shared" si="708"/>
        <v>60240</v>
      </c>
      <c r="G429" s="79">
        <f t="shared" si="708"/>
        <v>64720</v>
      </c>
      <c r="H429" s="79">
        <f t="shared" si="708"/>
        <v>69200</v>
      </c>
      <c r="I429" s="79">
        <f t="shared" si="708"/>
        <v>73680</v>
      </c>
      <c r="J429" s="80">
        <f t="shared" si="698"/>
        <v>976</v>
      </c>
      <c r="K429" s="80">
        <f t="shared" si="699"/>
        <v>1046</v>
      </c>
      <c r="L429" s="80">
        <f t="shared" si="700"/>
        <v>1256</v>
      </c>
      <c r="M429" s="80">
        <f t="shared" si="701"/>
        <v>1450</v>
      </c>
      <c r="N429" s="80">
        <f t="shared" si="702"/>
        <v>1618</v>
      </c>
      <c r="O429" s="80">
        <f t="shared" si="703"/>
        <v>1786</v>
      </c>
      <c r="P429" s="81"/>
      <c r="Q429" s="81"/>
      <c r="R429" s="81"/>
      <c r="S429" s="81"/>
      <c r="T429" s="81"/>
      <c r="U429" s="81"/>
      <c r="V429" s="81"/>
      <c r="W429" s="81"/>
      <c r="X429" s="81"/>
      <c r="Y429" s="81"/>
      <c r="Z429" s="81"/>
      <c r="AA429" s="81"/>
      <c r="AB429" s="81"/>
      <c r="AC429" s="81"/>
      <c r="AD429" s="81"/>
      <c r="AE429" s="81"/>
      <c r="AF429" s="81"/>
    </row>
    <row r="430" spans="1:32">
      <c r="A430" s="76" t="s">
        <v>1164</v>
      </c>
      <c r="B430" s="79">
        <f>B423*2*0.9</f>
        <v>43920</v>
      </c>
      <c r="C430" s="79">
        <f t="shared" ref="C430:I430" si="709">C423*2*0.9</f>
        <v>50220</v>
      </c>
      <c r="D430" s="79">
        <f t="shared" si="709"/>
        <v>56520</v>
      </c>
      <c r="E430" s="79">
        <f t="shared" si="709"/>
        <v>62730</v>
      </c>
      <c r="F430" s="79">
        <f t="shared" si="709"/>
        <v>67770</v>
      </c>
      <c r="G430" s="79">
        <f t="shared" si="709"/>
        <v>72810</v>
      </c>
      <c r="H430" s="79">
        <f t="shared" si="709"/>
        <v>77850</v>
      </c>
      <c r="I430" s="79">
        <f t="shared" si="709"/>
        <v>82890</v>
      </c>
      <c r="J430" s="80">
        <f t="shared" si="698"/>
        <v>1098</v>
      </c>
      <c r="K430" s="80">
        <f t="shared" si="699"/>
        <v>1176</v>
      </c>
      <c r="L430" s="80">
        <f t="shared" si="700"/>
        <v>1413</v>
      </c>
      <c r="M430" s="80">
        <f t="shared" si="701"/>
        <v>1631</v>
      </c>
      <c r="N430" s="80">
        <f t="shared" si="702"/>
        <v>1820</v>
      </c>
      <c r="O430" s="80">
        <f t="shared" si="703"/>
        <v>2009</v>
      </c>
      <c r="P430" s="81"/>
      <c r="Q430" s="81"/>
      <c r="R430" s="81"/>
      <c r="S430" s="81"/>
      <c r="T430" s="81"/>
      <c r="U430" s="81"/>
      <c r="V430" s="81"/>
      <c r="W430" s="81"/>
      <c r="X430" s="81"/>
      <c r="Y430" s="81"/>
      <c r="Z430" s="81"/>
      <c r="AA430" s="81"/>
      <c r="AB430" s="81"/>
      <c r="AC430" s="81"/>
      <c r="AD430" s="81"/>
      <c r="AE430" s="81"/>
      <c r="AF430" s="81"/>
    </row>
    <row r="431" spans="1:32">
      <c r="A431" s="76" t="s">
        <v>1165</v>
      </c>
      <c r="B431" s="79">
        <f>B423*2</f>
        <v>48800</v>
      </c>
      <c r="C431" s="79">
        <f t="shared" ref="C431:I431" si="710">C423*2</f>
        <v>55800</v>
      </c>
      <c r="D431" s="79">
        <f t="shared" si="710"/>
        <v>62800</v>
      </c>
      <c r="E431" s="79">
        <f t="shared" si="710"/>
        <v>69700</v>
      </c>
      <c r="F431" s="79">
        <f t="shared" si="710"/>
        <v>75300</v>
      </c>
      <c r="G431" s="79">
        <f t="shared" si="710"/>
        <v>80900</v>
      </c>
      <c r="H431" s="79">
        <f t="shared" si="710"/>
        <v>86500</v>
      </c>
      <c r="I431" s="79">
        <f t="shared" si="710"/>
        <v>92100</v>
      </c>
      <c r="J431" s="80">
        <f>J423*2</f>
        <v>1220</v>
      </c>
      <c r="K431" s="80">
        <f t="shared" ref="K431:O431" si="711">K423*2</f>
        <v>1306</v>
      </c>
      <c r="L431" s="80">
        <f t="shared" si="711"/>
        <v>1570</v>
      </c>
      <c r="M431" s="80">
        <f t="shared" si="711"/>
        <v>1812</v>
      </c>
      <c r="N431" s="80">
        <f t="shared" si="711"/>
        <v>2022</v>
      </c>
      <c r="O431" s="80">
        <f t="shared" si="711"/>
        <v>2232</v>
      </c>
      <c r="P431" s="81"/>
      <c r="Q431" s="81"/>
      <c r="R431" s="81"/>
      <c r="S431" s="81"/>
      <c r="T431" s="81"/>
      <c r="U431" s="81"/>
      <c r="V431" s="81"/>
      <c r="W431" s="81"/>
      <c r="X431" s="81"/>
      <c r="Y431" s="81"/>
      <c r="Z431" s="81"/>
      <c r="AA431" s="81"/>
      <c r="AB431" s="81"/>
      <c r="AC431" s="81"/>
      <c r="AD431" s="81"/>
      <c r="AE431" s="81"/>
      <c r="AF431" s="81"/>
    </row>
    <row r="432" spans="1:32">
      <c r="A432" s="76" t="s">
        <v>1166</v>
      </c>
      <c r="B432" s="79">
        <f>B423*2*1.1</f>
        <v>53680.000000000007</v>
      </c>
      <c r="C432" s="79">
        <f t="shared" ref="C432:I432" si="712">C423*2*1.1</f>
        <v>61380.000000000007</v>
      </c>
      <c r="D432" s="79">
        <f t="shared" si="712"/>
        <v>69080</v>
      </c>
      <c r="E432" s="79">
        <f t="shared" si="712"/>
        <v>76670</v>
      </c>
      <c r="F432" s="79">
        <f t="shared" si="712"/>
        <v>82830</v>
      </c>
      <c r="G432" s="79">
        <f t="shared" si="712"/>
        <v>88990</v>
      </c>
      <c r="H432" s="79">
        <f t="shared" si="712"/>
        <v>95150.000000000015</v>
      </c>
      <c r="I432" s="79">
        <f t="shared" si="712"/>
        <v>101310.00000000001</v>
      </c>
      <c r="J432" s="80">
        <f t="shared" ref="J432:J440" si="713">TRUNC(B432/12*0.3)</f>
        <v>1342</v>
      </c>
      <c r="K432" s="80">
        <f t="shared" ref="K432:K440" si="714">TRUNC((B432+C432)/2/12*0.3)</f>
        <v>1438</v>
      </c>
      <c r="L432" s="80">
        <f t="shared" ref="L432:L440" si="715">TRUNC((D432)/12*0.3)</f>
        <v>1727</v>
      </c>
      <c r="M432" s="80">
        <f t="shared" ref="M432:M440" si="716">TRUNC(((E432+F432)/2)/12*0.3)</f>
        <v>1993</v>
      </c>
      <c r="N432" s="80">
        <f t="shared" ref="N432:N440" si="717">TRUNC(G432/12*0.3)</f>
        <v>2224</v>
      </c>
      <c r="O432" s="80">
        <f t="shared" ref="O432:O440" si="718">TRUNC(((H432+I432)/2)/12*0.3)</f>
        <v>2455</v>
      </c>
      <c r="P432" s="81"/>
      <c r="Q432" s="81"/>
      <c r="R432" s="81"/>
      <c r="S432" s="81"/>
      <c r="T432" s="81"/>
      <c r="U432" s="81"/>
      <c r="V432" s="81"/>
      <c r="W432" s="81"/>
      <c r="X432" s="81"/>
      <c r="Y432" s="81"/>
      <c r="Z432" s="81"/>
      <c r="AA432" s="81"/>
      <c r="AB432" s="81"/>
      <c r="AC432" s="81"/>
      <c r="AD432" s="81"/>
      <c r="AE432" s="81"/>
      <c r="AF432" s="81"/>
    </row>
    <row r="433" spans="1:32">
      <c r="A433" s="76" t="s">
        <v>1167</v>
      </c>
      <c r="B433" s="79">
        <f>B423*2*1.2</f>
        <v>58560</v>
      </c>
      <c r="C433" s="79">
        <f t="shared" ref="C433:I433" si="719">C423*2*1.2</f>
        <v>66960</v>
      </c>
      <c r="D433" s="79">
        <f t="shared" si="719"/>
        <v>75360</v>
      </c>
      <c r="E433" s="79">
        <f t="shared" si="719"/>
        <v>83640</v>
      </c>
      <c r="F433" s="79">
        <f t="shared" si="719"/>
        <v>90360</v>
      </c>
      <c r="G433" s="79">
        <f t="shared" si="719"/>
        <v>97080</v>
      </c>
      <c r="H433" s="79">
        <f t="shared" si="719"/>
        <v>103800</v>
      </c>
      <c r="I433" s="79">
        <f t="shared" si="719"/>
        <v>110520</v>
      </c>
      <c r="J433" s="80">
        <f t="shared" si="713"/>
        <v>1464</v>
      </c>
      <c r="K433" s="80">
        <f t="shared" si="714"/>
        <v>1569</v>
      </c>
      <c r="L433" s="80">
        <f t="shared" si="715"/>
        <v>1884</v>
      </c>
      <c r="M433" s="80">
        <f t="shared" si="716"/>
        <v>2175</v>
      </c>
      <c r="N433" s="80">
        <f t="shared" si="717"/>
        <v>2427</v>
      </c>
      <c r="O433" s="80">
        <f t="shared" si="718"/>
        <v>2679</v>
      </c>
      <c r="P433" s="81"/>
      <c r="Q433" s="81"/>
      <c r="R433" s="81"/>
      <c r="S433" s="81"/>
      <c r="T433" s="81"/>
      <c r="U433" s="81"/>
      <c r="V433" s="81"/>
      <c r="W433" s="81"/>
      <c r="X433" s="81"/>
      <c r="Y433" s="81"/>
      <c r="Z433" s="81"/>
      <c r="AA433" s="81"/>
      <c r="AB433" s="81"/>
      <c r="AC433" s="81"/>
      <c r="AD433" s="81"/>
      <c r="AE433" s="81"/>
      <c r="AF433" s="81"/>
    </row>
    <row r="434" spans="1:32">
      <c r="A434" s="76" t="s">
        <v>1168</v>
      </c>
      <c r="B434" s="79">
        <f>B441*2*0.15</f>
        <v>7320</v>
      </c>
      <c r="C434" s="79">
        <f>C441*2*0.15</f>
        <v>8370</v>
      </c>
      <c r="D434" s="79">
        <f>D441*2*0.15</f>
        <v>9420</v>
      </c>
      <c r="E434" s="79">
        <f>E441*2*0.15</f>
        <v>10455</v>
      </c>
      <c r="F434" s="79">
        <f>F441*2*0.15</f>
        <v>11295</v>
      </c>
      <c r="G434" s="79">
        <f t="shared" ref="G434:I434" si="720">G441*2*0.15</f>
        <v>12135</v>
      </c>
      <c r="H434" s="79">
        <f t="shared" si="720"/>
        <v>12975</v>
      </c>
      <c r="I434" s="79">
        <f t="shared" si="720"/>
        <v>13815</v>
      </c>
      <c r="J434" s="80">
        <f t="shared" si="713"/>
        <v>183</v>
      </c>
      <c r="K434" s="80">
        <f t="shared" si="714"/>
        <v>196</v>
      </c>
      <c r="L434" s="80">
        <f t="shared" si="715"/>
        <v>235</v>
      </c>
      <c r="M434" s="80">
        <f t="shared" si="716"/>
        <v>271</v>
      </c>
      <c r="N434" s="80">
        <f t="shared" si="717"/>
        <v>303</v>
      </c>
      <c r="O434" s="80">
        <f t="shared" si="718"/>
        <v>334</v>
      </c>
      <c r="P434" s="81"/>
      <c r="Q434" s="81"/>
      <c r="R434" s="81"/>
      <c r="S434" s="81"/>
      <c r="T434" s="81"/>
      <c r="U434" s="81"/>
      <c r="V434" s="81"/>
      <c r="W434" s="81"/>
      <c r="X434" s="81"/>
      <c r="Y434" s="81"/>
      <c r="Z434" s="81"/>
      <c r="AA434" s="81"/>
      <c r="AB434" s="81"/>
      <c r="AC434" s="81"/>
      <c r="AD434" s="81"/>
      <c r="AE434" s="81"/>
      <c r="AF434" s="81"/>
    </row>
    <row r="435" spans="1:32">
      <c r="A435" s="76" t="s">
        <v>1169</v>
      </c>
      <c r="B435" s="79">
        <f>B441*2*0.2</f>
        <v>9760</v>
      </c>
      <c r="C435" s="79">
        <f t="shared" ref="C435:I435" si="721">C441*2*0.2</f>
        <v>11160</v>
      </c>
      <c r="D435" s="79">
        <f t="shared" si="721"/>
        <v>12560</v>
      </c>
      <c r="E435" s="79">
        <f t="shared" si="721"/>
        <v>13940</v>
      </c>
      <c r="F435" s="79">
        <f t="shared" si="721"/>
        <v>15060</v>
      </c>
      <c r="G435" s="79">
        <f t="shared" si="721"/>
        <v>16180</v>
      </c>
      <c r="H435" s="79">
        <f t="shared" si="721"/>
        <v>17300</v>
      </c>
      <c r="I435" s="79">
        <f t="shared" si="721"/>
        <v>18420</v>
      </c>
      <c r="J435" s="80">
        <f t="shared" si="713"/>
        <v>244</v>
      </c>
      <c r="K435" s="80">
        <f t="shared" si="714"/>
        <v>261</v>
      </c>
      <c r="L435" s="80">
        <f t="shared" si="715"/>
        <v>314</v>
      </c>
      <c r="M435" s="80">
        <f t="shared" si="716"/>
        <v>362</v>
      </c>
      <c r="N435" s="80">
        <f t="shared" si="717"/>
        <v>404</v>
      </c>
      <c r="O435" s="80">
        <f t="shared" si="718"/>
        <v>446</v>
      </c>
      <c r="P435" s="81"/>
      <c r="Q435" s="81"/>
      <c r="R435" s="81"/>
      <c r="S435" s="81"/>
      <c r="T435" s="81"/>
      <c r="U435" s="81"/>
      <c r="V435" s="81"/>
      <c r="W435" s="81"/>
      <c r="X435" s="81"/>
      <c r="Y435" s="81"/>
      <c r="Z435" s="81"/>
      <c r="AA435" s="81"/>
      <c r="AB435" s="81"/>
      <c r="AC435" s="81"/>
      <c r="AD435" s="81"/>
      <c r="AE435" s="81"/>
      <c r="AF435" s="81"/>
    </row>
    <row r="436" spans="1:32">
      <c r="A436" s="76" t="s">
        <v>1170</v>
      </c>
      <c r="B436" s="79">
        <f>B441*2*0.25</f>
        <v>12200</v>
      </c>
      <c r="C436" s="79">
        <f t="shared" ref="C436:I436" si="722">C441*2*0.25</f>
        <v>13950</v>
      </c>
      <c r="D436" s="79">
        <f t="shared" si="722"/>
        <v>15700</v>
      </c>
      <c r="E436" s="79">
        <f t="shared" si="722"/>
        <v>17425</v>
      </c>
      <c r="F436" s="79">
        <f t="shared" si="722"/>
        <v>18825</v>
      </c>
      <c r="G436" s="79">
        <f t="shared" si="722"/>
        <v>20225</v>
      </c>
      <c r="H436" s="79">
        <f t="shared" si="722"/>
        <v>21625</v>
      </c>
      <c r="I436" s="79">
        <f t="shared" si="722"/>
        <v>23025</v>
      </c>
      <c r="J436" s="80">
        <f t="shared" si="713"/>
        <v>305</v>
      </c>
      <c r="K436" s="80">
        <f t="shared" si="714"/>
        <v>326</v>
      </c>
      <c r="L436" s="80">
        <f t="shared" si="715"/>
        <v>392</v>
      </c>
      <c r="M436" s="80">
        <f t="shared" si="716"/>
        <v>453</v>
      </c>
      <c r="N436" s="80">
        <f t="shared" si="717"/>
        <v>505</v>
      </c>
      <c r="O436" s="80">
        <f t="shared" si="718"/>
        <v>558</v>
      </c>
      <c r="P436" s="81"/>
      <c r="Q436" s="81"/>
      <c r="R436" s="81"/>
      <c r="S436" s="81"/>
      <c r="T436" s="81"/>
      <c r="U436" s="81"/>
      <c r="V436" s="81"/>
      <c r="W436" s="81"/>
      <c r="X436" s="81"/>
      <c r="Y436" s="81"/>
      <c r="Z436" s="81"/>
      <c r="AA436" s="81"/>
      <c r="AB436" s="81"/>
      <c r="AC436" s="81"/>
      <c r="AD436" s="81"/>
      <c r="AE436" s="81"/>
      <c r="AF436" s="81"/>
    </row>
    <row r="437" spans="1:32">
      <c r="A437" s="76" t="s">
        <v>1171</v>
      </c>
      <c r="B437" s="79">
        <f>B441*2*0.3</f>
        <v>14640</v>
      </c>
      <c r="C437" s="79">
        <f t="shared" ref="C437:I437" si="723">C441*2*0.3</f>
        <v>16740</v>
      </c>
      <c r="D437" s="79">
        <f t="shared" si="723"/>
        <v>18840</v>
      </c>
      <c r="E437" s="79">
        <f t="shared" si="723"/>
        <v>20910</v>
      </c>
      <c r="F437" s="79">
        <f t="shared" si="723"/>
        <v>22590</v>
      </c>
      <c r="G437" s="79">
        <f t="shared" si="723"/>
        <v>24270</v>
      </c>
      <c r="H437" s="79">
        <f t="shared" si="723"/>
        <v>25950</v>
      </c>
      <c r="I437" s="79">
        <f t="shared" si="723"/>
        <v>27630</v>
      </c>
      <c r="J437" s="80">
        <f t="shared" si="713"/>
        <v>366</v>
      </c>
      <c r="K437" s="80">
        <f t="shared" si="714"/>
        <v>392</v>
      </c>
      <c r="L437" s="80">
        <f t="shared" si="715"/>
        <v>471</v>
      </c>
      <c r="M437" s="80">
        <f t="shared" si="716"/>
        <v>543</v>
      </c>
      <c r="N437" s="80">
        <f t="shared" si="717"/>
        <v>606</v>
      </c>
      <c r="O437" s="80">
        <f t="shared" si="718"/>
        <v>669</v>
      </c>
      <c r="P437" s="81"/>
      <c r="Q437" s="81"/>
      <c r="R437" s="81"/>
      <c r="S437" s="81"/>
      <c r="T437" s="81"/>
      <c r="U437" s="81"/>
      <c r="V437" s="81"/>
      <c r="W437" s="81"/>
      <c r="X437" s="81"/>
      <c r="Y437" s="81"/>
      <c r="Z437" s="81"/>
      <c r="AA437" s="81"/>
      <c r="AB437" s="81"/>
      <c r="AC437" s="81"/>
      <c r="AD437" s="81"/>
      <c r="AE437" s="81"/>
      <c r="AF437" s="81"/>
    </row>
    <row r="438" spans="1:32">
      <c r="A438" s="76" t="s">
        <v>1172</v>
      </c>
      <c r="B438" s="79">
        <f>B441*2*0.35</f>
        <v>17080</v>
      </c>
      <c r="C438" s="79">
        <f t="shared" ref="C438:I438" si="724">C441*2*0.35</f>
        <v>19530</v>
      </c>
      <c r="D438" s="79">
        <f t="shared" si="724"/>
        <v>21980</v>
      </c>
      <c r="E438" s="79">
        <f t="shared" si="724"/>
        <v>24395</v>
      </c>
      <c r="F438" s="79">
        <f t="shared" si="724"/>
        <v>26355</v>
      </c>
      <c r="G438" s="79">
        <f t="shared" si="724"/>
        <v>28315</v>
      </c>
      <c r="H438" s="79">
        <f t="shared" si="724"/>
        <v>30274.999999999996</v>
      </c>
      <c r="I438" s="79">
        <f t="shared" si="724"/>
        <v>32234.999999999996</v>
      </c>
      <c r="J438" s="80">
        <f t="shared" si="713"/>
        <v>427</v>
      </c>
      <c r="K438" s="80">
        <f t="shared" si="714"/>
        <v>457</v>
      </c>
      <c r="L438" s="80">
        <f t="shared" si="715"/>
        <v>549</v>
      </c>
      <c r="M438" s="80">
        <f t="shared" si="716"/>
        <v>634</v>
      </c>
      <c r="N438" s="80">
        <f t="shared" si="717"/>
        <v>707</v>
      </c>
      <c r="O438" s="80">
        <f t="shared" si="718"/>
        <v>781</v>
      </c>
      <c r="P438" s="81"/>
      <c r="Q438" s="81"/>
      <c r="R438" s="81"/>
      <c r="S438" s="81"/>
      <c r="T438" s="81"/>
      <c r="U438" s="81"/>
      <c r="V438" s="81"/>
      <c r="W438" s="81"/>
      <c r="X438" s="81"/>
      <c r="Y438" s="81"/>
      <c r="Z438" s="81"/>
      <c r="AA438" s="81"/>
      <c r="AB438" s="81"/>
      <c r="AC438" s="81"/>
      <c r="AD438" s="81"/>
      <c r="AE438" s="81"/>
      <c r="AF438" s="81"/>
    </row>
    <row r="439" spans="1:32">
      <c r="A439" s="76" t="s">
        <v>1173</v>
      </c>
      <c r="B439" s="79">
        <f>B441*2*0.4</f>
        <v>19520</v>
      </c>
      <c r="C439" s="79">
        <f t="shared" ref="C439:I439" si="725">C441*2*0.4</f>
        <v>22320</v>
      </c>
      <c r="D439" s="79">
        <f t="shared" si="725"/>
        <v>25120</v>
      </c>
      <c r="E439" s="79">
        <f t="shared" si="725"/>
        <v>27880</v>
      </c>
      <c r="F439" s="79">
        <f t="shared" si="725"/>
        <v>30120</v>
      </c>
      <c r="G439" s="79">
        <f t="shared" si="725"/>
        <v>32360</v>
      </c>
      <c r="H439" s="79">
        <f t="shared" si="725"/>
        <v>34600</v>
      </c>
      <c r="I439" s="79">
        <f t="shared" si="725"/>
        <v>36840</v>
      </c>
      <c r="J439" s="80">
        <f t="shared" si="713"/>
        <v>488</v>
      </c>
      <c r="K439" s="80">
        <f t="shared" si="714"/>
        <v>523</v>
      </c>
      <c r="L439" s="80">
        <f t="shared" si="715"/>
        <v>628</v>
      </c>
      <c r="M439" s="80">
        <f t="shared" si="716"/>
        <v>725</v>
      </c>
      <c r="N439" s="80">
        <f t="shared" si="717"/>
        <v>809</v>
      </c>
      <c r="O439" s="80">
        <f t="shared" si="718"/>
        <v>893</v>
      </c>
      <c r="P439" s="81"/>
      <c r="Q439" s="81"/>
      <c r="R439" s="81"/>
      <c r="S439" s="81"/>
      <c r="T439" s="81"/>
      <c r="U439" s="81"/>
      <c r="V439" s="81"/>
      <c r="W439" s="81"/>
      <c r="X439" s="81"/>
      <c r="Y439" s="81"/>
      <c r="Z439" s="81"/>
      <c r="AA439" s="81"/>
      <c r="AB439" s="81"/>
      <c r="AC439" s="81"/>
      <c r="AD439" s="81"/>
      <c r="AE439" s="81"/>
      <c r="AF439" s="81"/>
    </row>
    <row r="440" spans="1:32">
      <c r="A440" s="76" t="s">
        <v>1174</v>
      </c>
      <c r="B440" s="79">
        <f>B441*2*0.45</f>
        <v>21960</v>
      </c>
      <c r="C440" s="79">
        <f t="shared" ref="C440:I440" si="726">C441*2*0.45</f>
        <v>25110</v>
      </c>
      <c r="D440" s="79">
        <f t="shared" si="726"/>
        <v>28260</v>
      </c>
      <c r="E440" s="79">
        <f t="shared" si="726"/>
        <v>31365</v>
      </c>
      <c r="F440" s="79">
        <f t="shared" si="726"/>
        <v>33885</v>
      </c>
      <c r="G440" s="79">
        <f t="shared" si="726"/>
        <v>36405</v>
      </c>
      <c r="H440" s="79">
        <f t="shared" si="726"/>
        <v>38925</v>
      </c>
      <c r="I440" s="79">
        <f t="shared" si="726"/>
        <v>41445</v>
      </c>
      <c r="J440" s="80">
        <f t="shared" si="713"/>
        <v>549</v>
      </c>
      <c r="K440" s="80">
        <f t="shared" si="714"/>
        <v>588</v>
      </c>
      <c r="L440" s="80">
        <f t="shared" si="715"/>
        <v>706</v>
      </c>
      <c r="M440" s="80">
        <f t="shared" si="716"/>
        <v>815</v>
      </c>
      <c r="N440" s="80">
        <f t="shared" si="717"/>
        <v>910</v>
      </c>
      <c r="O440" s="80">
        <f t="shared" si="718"/>
        <v>1004</v>
      </c>
      <c r="P440" s="81"/>
      <c r="Q440" s="81"/>
      <c r="R440" s="81"/>
      <c r="S440" s="81"/>
      <c r="T440" s="81"/>
      <c r="U440" s="81"/>
      <c r="V440" s="81"/>
      <c r="W440" s="81"/>
      <c r="X440" s="81"/>
      <c r="Y440" s="81"/>
      <c r="Z440" s="81"/>
      <c r="AA440" s="81"/>
      <c r="AB440" s="81"/>
      <c r="AC440" s="81"/>
      <c r="AD440" s="81"/>
      <c r="AE440" s="81"/>
      <c r="AF440" s="81"/>
    </row>
    <row r="441" spans="1:32">
      <c r="A441" s="82" t="s">
        <v>1175</v>
      </c>
      <c r="B441" s="84">
        <f>'MTSP 50% Income Limits '!B26</f>
        <v>24400</v>
      </c>
      <c r="C441" s="84">
        <f>'MTSP 50% Income Limits '!C26</f>
        <v>27900</v>
      </c>
      <c r="D441" s="84">
        <f>'MTSP 50% Income Limits '!D26</f>
        <v>31400</v>
      </c>
      <c r="E441" s="84">
        <f>'MTSP 50% Income Limits '!E26</f>
        <v>34850</v>
      </c>
      <c r="F441" s="84">
        <f>'MTSP 50% Income Limits '!F26</f>
        <v>37650</v>
      </c>
      <c r="G441" s="84">
        <f>'MTSP 50% Income Limits '!G26</f>
        <v>40450</v>
      </c>
      <c r="H441" s="84">
        <f>'MTSP 50% Income Limits '!H26</f>
        <v>43250</v>
      </c>
      <c r="I441" s="84">
        <f>'MTSP 50% Income Limits '!I26</f>
        <v>46050</v>
      </c>
      <c r="J441" s="83">
        <f>TRUNC(B441/12*0.3)</f>
        <v>610</v>
      </c>
      <c r="K441" s="83">
        <f>TRUNC((B441+C441)/2/12*0.3)</f>
        <v>653</v>
      </c>
      <c r="L441" s="83">
        <f>TRUNC((D441)/12*0.3)</f>
        <v>785</v>
      </c>
      <c r="M441" s="83">
        <f>TRUNC(((E441+F441)/2)/12*0.3)</f>
        <v>906</v>
      </c>
      <c r="N441" s="83">
        <f>TRUNC(G441/12*0.3)</f>
        <v>1011</v>
      </c>
      <c r="O441" s="83">
        <f>TRUNC(((H441+I441)/2)/12*0.3)</f>
        <v>1116</v>
      </c>
      <c r="P441" s="81"/>
      <c r="Q441" s="81"/>
      <c r="R441" s="81"/>
      <c r="S441" s="81"/>
      <c r="T441" s="81"/>
      <c r="U441" s="81"/>
      <c r="V441" s="81"/>
      <c r="W441" s="81"/>
      <c r="X441" s="81"/>
      <c r="Y441" s="81"/>
      <c r="Z441" s="81"/>
      <c r="AA441" s="81"/>
      <c r="AB441" s="81"/>
      <c r="AC441" s="81"/>
      <c r="AD441" s="81"/>
      <c r="AE441" s="81"/>
      <c r="AF441" s="81"/>
    </row>
    <row r="442" spans="1:32">
      <c r="A442" s="76" t="s">
        <v>1176</v>
      </c>
      <c r="B442" s="79">
        <f>B441*2*0.55</f>
        <v>26840.000000000004</v>
      </c>
      <c r="C442" s="79">
        <f t="shared" ref="C442:I442" si="727">C441*2*0.55</f>
        <v>30690.000000000004</v>
      </c>
      <c r="D442" s="79">
        <f t="shared" si="727"/>
        <v>34540</v>
      </c>
      <c r="E442" s="79">
        <f t="shared" si="727"/>
        <v>38335</v>
      </c>
      <c r="F442" s="79">
        <f t="shared" si="727"/>
        <v>41415</v>
      </c>
      <c r="G442" s="79">
        <f t="shared" si="727"/>
        <v>44495</v>
      </c>
      <c r="H442" s="79">
        <f t="shared" si="727"/>
        <v>47575.000000000007</v>
      </c>
      <c r="I442" s="79">
        <f t="shared" si="727"/>
        <v>50655.000000000007</v>
      </c>
      <c r="J442" s="80">
        <f t="shared" ref="J442:J448" si="728">TRUNC(B442/12*0.3)</f>
        <v>671</v>
      </c>
      <c r="K442" s="80">
        <f t="shared" ref="K442:K448" si="729">TRUNC((B442+C442)/2/12*0.3)</f>
        <v>719</v>
      </c>
      <c r="L442" s="80">
        <f t="shared" ref="L442:L448" si="730">TRUNC((D442)/12*0.3)</f>
        <v>863</v>
      </c>
      <c r="M442" s="80">
        <f t="shared" ref="M442:M448" si="731">TRUNC(((E442+F442)/2)/12*0.3)</f>
        <v>996</v>
      </c>
      <c r="N442" s="80">
        <f t="shared" ref="N442:N448" si="732">TRUNC(G442/12*0.3)</f>
        <v>1112</v>
      </c>
      <c r="O442" s="80">
        <f t="shared" ref="O442:O448" si="733">TRUNC(((H442+I442)/2)/12*0.3)</f>
        <v>1227</v>
      </c>
      <c r="P442" s="81"/>
      <c r="Q442" s="81"/>
      <c r="R442" s="81"/>
      <c r="S442" s="81"/>
      <c r="T442" s="81"/>
      <c r="U442" s="81"/>
      <c r="V442" s="81"/>
      <c r="W442" s="81"/>
      <c r="X442" s="81"/>
      <c r="Y442" s="81"/>
      <c r="Z442" s="81"/>
      <c r="AA442" s="81"/>
      <c r="AB442" s="81"/>
      <c r="AC442" s="81"/>
      <c r="AD442" s="81"/>
      <c r="AE442" s="81"/>
      <c r="AF442" s="81"/>
    </row>
    <row r="443" spans="1:32">
      <c r="A443" s="76" t="s">
        <v>1177</v>
      </c>
      <c r="B443" s="79">
        <f>B441*2*0.6</f>
        <v>29280</v>
      </c>
      <c r="C443" s="79">
        <f t="shared" ref="C443:I443" si="734">C441*2*0.6</f>
        <v>33480</v>
      </c>
      <c r="D443" s="79">
        <f t="shared" si="734"/>
        <v>37680</v>
      </c>
      <c r="E443" s="79">
        <f t="shared" si="734"/>
        <v>41820</v>
      </c>
      <c r="F443" s="79">
        <f t="shared" si="734"/>
        <v>45180</v>
      </c>
      <c r="G443" s="79">
        <f t="shared" si="734"/>
        <v>48540</v>
      </c>
      <c r="H443" s="79">
        <f t="shared" si="734"/>
        <v>51900</v>
      </c>
      <c r="I443" s="79">
        <f t="shared" si="734"/>
        <v>55260</v>
      </c>
      <c r="J443" s="80">
        <f t="shared" si="728"/>
        <v>732</v>
      </c>
      <c r="K443" s="80">
        <f t="shared" si="729"/>
        <v>784</v>
      </c>
      <c r="L443" s="80">
        <f t="shared" si="730"/>
        <v>942</v>
      </c>
      <c r="M443" s="80">
        <f t="shared" si="731"/>
        <v>1087</v>
      </c>
      <c r="N443" s="80">
        <f t="shared" si="732"/>
        <v>1213</v>
      </c>
      <c r="O443" s="80">
        <f t="shared" si="733"/>
        <v>1339</v>
      </c>
      <c r="P443" s="81"/>
      <c r="Q443" s="81"/>
      <c r="R443" s="81"/>
      <c r="S443" s="81"/>
      <c r="T443" s="81"/>
      <c r="U443" s="81"/>
      <c r="V443" s="81"/>
      <c r="W443" s="81"/>
      <c r="X443" s="81"/>
      <c r="Y443" s="81"/>
      <c r="Z443" s="81"/>
      <c r="AA443" s="81"/>
      <c r="AB443" s="81"/>
      <c r="AC443" s="81"/>
      <c r="AD443" s="81"/>
      <c r="AE443" s="81"/>
      <c r="AF443" s="81"/>
    </row>
    <row r="444" spans="1:32">
      <c r="A444" s="76" t="s">
        <v>1178</v>
      </c>
      <c r="B444" s="79">
        <f>B441*2*0.65</f>
        <v>31720</v>
      </c>
      <c r="C444" s="79">
        <f t="shared" ref="C444:I444" si="735">C441*2*0.65</f>
        <v>36270</v>
      </c>
      <c r="D444" s="79">
        <f t="shared" si="735"/>
        <v>40820</v>
      </c>
      <c r="E444" s="79">
        <f t="shared" si="735"/>
        <v>45305</v>
      </c>
      <c r="F444" s="79">
        <f t="shared" si="735"/>
        <v>48945</v>
      </c>
      <c r="G444" s="79">
        <f t="shared" si="735"/>
        <v>52585</v>
      </c>
      <c r="H444" s="79">
        <f t="shared" si="735"/>
        <v>56225</v>
      </c>
      <c r="I444" s="79">
        <f t="shared" si="735"/>
        <v>59865</v>
      </c>
      <c r="J444" s="80">
        <f t="shared" si="728"/>
        <v>793</v>
      </c>
      <c r="K444" s="80">
        <f t="shared" si="729"/>
        <v>849</v>
      </c>
      <c r="L444" s="80">
        <f t="shared" si="730"/>
        <v>1020</v>
      </c>
      <c r="M444" s="80">
        <f t="shared" si="731"/>
        <v>1178</v>
      </c>
      <c r="N444" s="80">
        <f t="shared" si="732"/>
        <v>1314</v>
      </c>
      <c r="O444" s="80">
        <f t="shared" si="733"/>
        <v>1451</v>
      </c>
      <c r="P444" s="81"/>
      <c r="Q444" s="81"/>
      <c r="R444" s="81"/>
      <c r="S444" s="81"/>
      <c r="T444" s="81"/>
      <c r="U444" s="81"/>
      <c r="V444" s="81"/>
      <c r="W444" s="81"/>
      <c r="X444" s="81"/>
      <c r="Y444" s="81"/>
      <c r="Z444" s="81"/>
      <c r="AA444" s="81"/>
      <c r="AB444" s="81"/>
      <c r="AC444" s="81"/>
      <c r="AD444" s="81"/>
      <c r="AE444" s="81"/>
      <c r="AF444" s="81"/>
    </row>
    <row r="445" spans="1:32">
      <c r="A445" s="76" t="s">
        <v>1179</v>
      </c>
      <c r="B445" s="79">
        <f>B441*2*0.7</f>
        <v>34160</v>
      </c>
      <c r="C445" s="79">
        <f t="shared" ref="C445:I445" si="736">C441*2*0.7</f>
        <v>39060</v>
      </c>
      <c r="D445" s="79">
        <f t="shared" si="736"/>
        <v>43960</v>
      </c>
      <c r="E445" s="79">
        <f t="shared" si="736"/>
        <v>48790</v>
      </c>
      <c r="F445" s="79">
        <f t="shared" si="736"/>
        <v>52710</v>
      </c>
      <c r="G445" s="79">
        <f t="shared" si="736"/>
        <v>56630</v>
      </c>
      <c r="H445" s="79">
        <f t="shared" si="736"/>
        <v>60549.999999999993</v>
      </c>
      <c r="I445" s="79">
        <f t="shared" si="736"/>
        <v>64469.999999999993</v>
      </c>
      <c r="J445" s="80">
        <f t="shared" si="728"/>
        <v>854</v>
      </c>
      <c r="K445" s="80">
        <f t="shared" si="729"/>
        <v>915</v>
      </c>
      <c r="L445" s="80">
        <f t="shared" si="730"/>
        <v>1099</v>
      </c>
      <c r="M445" s="80">
        <f t="shared" si="731"/>
        <v>1268</v>
      </c>
      <c r="N445" s="80">
        <f t="shared" si="732"/>
        <v>1415</v>
      </c>
      <c r="O445" s="80">
        <f t="shared" si="733"/>
        <v>1562</v>
      </c>
      <c r="P445" s="81"/>
      <c r="Q445" s="81"/>
      <c r="R445" s="81"/>
      <c r="S445" s="81"/>
      <c r="T445" s="81"/>
      <c r="U445" s="81"/>
      <c r="V445" s="81"/>
      <c r="W445" s="81"/>
      <c r="X445" s="81"/>
      <c r="Y445" s="81"/>
      <c r="Z445" s="81"/>
      <c r="AA445" s="81"/>
      <c r="AB445" s="81"/>
      <c r="AC445" s="81"/>
      <c r="AD445" s="81"/>
      <c r="AE445" s="81"/>
      <c r="AF445" s="81"/>
    </row>
    <row r="446" spans="1:32">
      <c r="A446" s="76" t="s">
        <v>1180</v>
      </c>
      <c r="B446" s="79">
        <f>B441*2*0.75</f>
        <v>36600</v>
      </c>
      <c r="C446" s="79">
        <f t="shared" ref="C446:I446" si="737">C441*2*0.75</f>
        <v>41850</v>
      </c>
      <c r="D446" s="79">
        <f t="shared" si="737"/>
        <v>47100</v>
      </c>
      <c r="E446" s="79">
        <f t="shared" si="737"/>
        <v>52275</v>
      </c>
      <c r="F446" s="79">
        <f t="shared" si="737"/>
        <v>56475</v>
      </c>
      <c r="G446" s="79">
        <f t="shared" si="737"/>
        <v>60675</v>
      </c>
      <c r="H446" s="79">
        <f t="shared" si="737"/>
        <v>64875</v>
      </c>
      <c r="I446" s="79">
        <f t="shared" si="737"/>
        <v>69075</v>
      </c>
      <c r="J446" s="80">
        <f t="shared" si="728"/>
        <v>915</v>
      </c>
      <c r="K446" s="80">
        <f t="shared" si="729"/>
        <v>980</v>
      </c>
      <c r="L446" s="80">
        <f t="shared" si="730"/>
        <v>1177</v>
      </c>
      <c r="M446" s="80">
        <f t="shared" si="731"/>
        <v>1359</v>
      </c>
      <c r="N446" s="80">
        <f t="shared" si="732"/>
        <v>1516</v>
      </c>
      <c r="O446" s="80">
        <f t="shared" si="733"/>
        <v>1674</v>
      </c>
      <c r="P446" s="81"/>
      <c r="Q446" s="81"/>
      <c r="R446" s="81"/>
      <c r="S446" s="81"/>
      <c r="T446" s="81"/>
      <c r="U446" s="81"/>
      <c r="V446" s="81"/>
      <c r="W446" s="81"/>
      <c r="X446" s="81"/>
      <c r="Y446" s="81"/>
      <c r="Z446" s="81"/>
      <c r="AA446" s="81"/>
      <c r="AB446" s="81"/>
      <c r="AC446" s="81"/>
      <c r="AD446" s="81"/>
      <c r="AE446" s="81"/>
      <c r="AF446" s="81"/>
    </row>
    <row r="447" spans="1:32">
      <c r="A447" s="76" t="s">
        <v>1181</v>
      </c>
      <c r="B447" s="79">
        <f>B441*2*0.8</f>
        <v>39040</v>
      </c>
      <c r="C447" s="79">
        <f t="shared" ref="C447:I447" si="738">C441*2*0.8</f>
        <v>44640</v>
      </c>
      <c r="D447" s="79">
        <f t="shared" si="738"/>
        <v>50240</v>
      </c>
      <c r="E447" s="79">
        <f t="shared" si="738"/>
        <v>55760</v>
      </c>
      <c r="F447" s="79">
        <f t="shared" si="738"/>
        <v>60240</v>
      </c>
      <c r="G447" s="79">
        <f t="shared" si="738"/>
        <v>64720</v>
      </c>
      <c r="H447" s="79">
        <f t="shared" si="738"/>
        <v>69200</v>
      </c>
      <c r="I447" s="79">
        <f t="shared" si="738"/>
        <v>73680</v>
      </c>
      <c r="J447" s="80">
        <f t="shared" si="728"/>
        <v>976</v>
      </c>
      <c r="K447" s="80">
        <f t="shared" si="729"/>
        <v>1046</v>
      </c>
      <c r="L447" s="80">
        <f t="shared" si="730"/>
        <v>1256</v>
      </c>
      <c r="M447" s="80">
        <f t="shared" si="731"/>
        <v>1450</v>
      </c>
      <c r="N447" s="80">
        <f t="shared" si="732"/>
        <v>1618</v>
      </c>
      <c r="O447" s="80">
        <f t="shared" si="733"/>
        <v>1786</v>
      </c>
      <c r="P447" s="81"/>
      <c r="Q447" s="81"/>
      <c r="R447" s="81"/>
      <c r="S447" s="81"/>
      <c r="T447" s="81"/>
      <c r="U447" s="81"/>
      <c r="V447" s="81"/>
      <c r="W447" s="81"/>
      <c r="X447" s="81"/>
      <c r="Y447" s="81"/>
      <c r="Z447" s="81"/>
      <c r="AA447" s="81"/>
      <c r="AB447" s="81"/>
      <c r="AC447" s="81"/>
      <c r="AD447" s="81"/>
      <c r="AE447" s="81"/>
      <c r="AF447" s="81"/>
    </row>
    <row r="448" spans="1:32">
      <c r="A448" s="76" t="s">
        <v>1182</v>
      </c>
      <c r="B448" s="79">
        <f>B441*2*0.9</f>
        <v>43920</v>
      </c>
      <c r="C448" s="79">
        <f t="shared" ref="C448:I448" si="739">C441*2*0.9</f>
        <v>50220</v>
      </c>
      <c r="D448" s="79">
        <f t="shared" si="739"/>
        <v>56520</v>
      </c>
      <c r="E448" s="79">
        <f t="shared" si="739"/>
        <v>62730</v>
      </c>
      <c r="F448" s="79">
        <f t="shared" si="739"/>
        <v>67770</v>
      </c>
      <c r="G448" s="79">
        <f t="shared" si="739"/>
        <v>72810</v>
      </c>
      <c r="H448" s="79">
        <f t="shared" si="739"/>
        <v>77850</v>
      </c>
      <c r="I448" s="79">
        <f t="shared" si="739"/>
        <v>82890</v>
      </c>
      <c r="J448" s="80">
        <f t="shared" si="728"/>
        <v>1098</v>
      </c>
      <c r="K448" s="80">
        <f t="shared" si="729"/>
        <v>1176</v>
      </c>
      <c r="L448" s="80">
        <f t="shared" si="730"/>
        <v>1413</v>
      </c>
      <c r="M448" s="80">
        <f t="shared" si="731"/>
        <v>1631</v>
      </c>
      <c r="N448" s="80">
        <f t="shared" si="732"/>
        <v>1820</v>
      </c>
      <c r="O448" s="80">
        <f t="shared" si="733"/>
        <v>2009</v>
      </c>
      <c r="P448" s="81"/>
      <c r="Q448" s="81"/>
      <c r="R448" s="81"/>
      <c r="S448" s="81"/>
      <c r="T448" s="81"/>
      <c r="U448" s="81"/>
      <c r="V448" s="81"/>
      <c r="W448" s="81"/>
      <c r="X448" s="81"/>
      <c r="Y448" s="81"/>
      <c r="Z448" s="81"/>
      <c r="AA448" s="81"/>
      <c r="AB448" s="81"/>
      <c r="AC448" s="81"/>
      <c r="AD448" s="81"/>
      <c r="AE448" s="81"/>
      <c r="AF448" s="81"/>
    </row>
    <row r="449" spans="1:32">
      <c r="A449" s="76" t="s">
        <v>1183</v>
      </c>
      <c r="B449" s="79">
        <f>B441*2</f>
        <v>48800</v>
      </c>
      <c r="C449" s="79">
        <f t="shared" ref="C449:I449" si="740">C441*2</f>
        <v>55800</v>
      </c>
      <c r="D449" s="79">
        <f t="shared" si="740"/>
        <v>62800</v>
      </c>
      <c r="E449" s="79">
        <f t="shared" si="740"/>
        <v>69700</v>
      </c>
      <c r="F449" s="79">
        <f t="shared" si="740"/>
        <v>75300</v>
      </c>
      <c r="G449" s="79">
        <f t="shared" si="740"/>
        <v>80900</v>
      </c>
      <c r="H449" s="79">
        <f t="shared" si="740"/>
        <v>86500</v>
      </c>
      <c r="I449" s="79">
        <f t="shared" si="740"/>
        <v>92100</v>
      </c>
      <c r="J449" s="80">
        <f>J441*2</f>
        <v>1220</v>
      </c>
      <c r="K449" s="80">
        <f t="shared" ref="K449:O449" si="741">K441*2</f>
        <v>1306</v>
      </c>
      <c r="L449" s="80">
        <f t="shared" si="741"/>
        <v>1570</v>
      </c>
      <c r="M449" s="80">
        <f t="shared" si="741"/>
        <v>1812</v>
      </c>
      <c r="N449" s="80">
        <f t="shared" si="741"/>
        <v>2022</v>
      </c>
      <c r="O449" s="80">
        <f t="shared" si="741"/>
        <v>2232</v>
      </c>
      <c r="P449" s="81"/>
      <c r="Q449" s="81"/>
      <c r="R449" s="81"/>
      <c r="S449" s="81"/>
      <c r="T449" s="81"/>
      <c r="U449" s="81"/>
      <c r="V449" s="81"/>
      <c r="W449" s="81"/>
      <c r="X449" s="81"/>
      <c r="Y449" s="81"/>
      <c r="Z449" s="81"/>
      <c r="AA449" s="81"/>
      <c r="AB449" s="81"/>
      <c r="AC449" s="81"/>
      <c r="AD449" s="81"/>
      <c r="AE449" s="81"/>
      <c r="AF449" s="81"/>
    </row>
    <row r="450" spans="1:32">
      <c r="A450" s="76" t="s">
        <v>1184</v>
      </c>
      <c r="B450" s="79">
        <f>B441*2*1.1</f>
        <v>53680.000000000007</v>
      </c>
      <c r="C450" s="79">
        <f t="shared" ref="C450:I450" si="742">C441*2*1.1</f>
        <v>61380.000000000007</v>
      </c>
      <c r="D450" s="79">
        <f t="shared" si="742"/>
        <v>69080</v>
      </c>
      <c r="E450" s="79">
        <f t="shared" si="742"/>
        <v>76670</v>
      </c>
      <c r="F450" s="79">
        <f t="shared" si="742"/>
        <v>82830</v>
      </c>
      <c r="G450" s="79">
        <f t="shared" si="742"/>
        <v>88990</v>
      </c>
      <c r="H450" s="79">
        <f t="shared" si="742"/>
        <v>95150.000000000015</v>
      </c>
      <c r="I450" s="79">
        <f t="shared" si="742"/>
        <v>101310.00000000001</v>
      </c>
      <c r="J450" s="80">
        <f t="shared" ref="J450:J458" si="743">TRUNC(B450/12*0.3)</f>
        <v>1342</v>
      </c>
      <c r="K450" s="80">
        <f t="shared" ref="K450:K458" si="744">TRUNC((B450+C450)/2/12*0.3)</f>
        <v>1438</v>
      </c>
      <c r="L450" s="80">
        <f t="shared" ref="L450:L458" si="745">TRUNC((D450)/12*0.3)</f>
        <v>1727</v>
      </c>
      <c r="M450" s="80">
        <f t="shared" ref="M450:M458" si="746">TRUNC(((E450+F450)/2)/12*0.3)</f>
        <v>1993</v>
      </c>
      <c r="N450" s="80">
        <f t="shared" ref="N450:N458" si="747">TRUNC(G450/12*0.3)</f>
        <v>2224</v>
      </c>
      <c r="O450" s="80">
        <f t="shared" ref="O450:O458" si="748">TRUNC(((H450+I450)/2)/12*0.3)</f>
        <v>2455</v>
      </c>
      <c r="P450" s="81"/>
      <c r="Q450" s="81"/>
      <c r="R450" s="81"/>
      <c r="S450" s="81"/>
      <c r="T450" s="81"/>
      <c r="U450" s="81"/>
      <c r="V450" s="81"/>
      <c r="W450" s="81"/>
      <c r="X450" s="81"/>
      <c r="Y450" s="81"/>
      <c r="Z450" s="81"/>
      <c r="AA450" s="81"/>
      <c r="AB450" s="81"/>
      <c r="AC450" s="81"/>
      <c r="AD450" s="81"/>
      <c r="AE450" s="81"/>
      <c r="AF450" s="81"/>
    </row>
    <row r="451" spans="1:32">
      <c r="A451" s="76" t="s">
        <v>1185</v>
      </c>
      <c r="B451" s="79">
        <f>B441*2*1.2</f>
        <v>58560</v>
      </c>
      <c r="C451" s="79">
        <f t="shared" ref="C451:I451" si="749">C441*2*1.2</f>
        <v>66960</v>
      </c>
      <c r="D451" s="79">
        <f t="shared" si="749"/>
        <v>75360</v>
      </c>
      <c r="E451" s="79">
        <f t="shared" si="749"/>
        <v>83640</v>
      </c>
      <c r="F451" s="79">
        <f t="shared" si="749"/>
        <v>90360</v>
      </c>
      <c r="G451" s="79">
        <f t="shared" si="749"/>
        <v>97080</v>
      </c>
      <c r="H451" s="79">
        <f t="shared" si="749"/>
        <v>103800</v>
      </c>
      <c r="I451" s="79">
        <f t="shared" si="749"/>
        <v>110520</v>
      </c>
      <c r="J451" s="80">
        <f t="shared" si="743"/>
        <v>1464</v>
      </c>
      <c r="K451" s="80">
        <f t="shared" si="744"/>
        <v>1569</v>
      </c>
      <c r="L451" s="80">
        <f t="shared" si="745"/>
        <v>1884</v>
      </c>
      <c r="M451" s="80">
        <f t="shared" si="746"/>
        <v>2175</v>
      </c>
      <c r="N451" s="80">
        <f t="shared" si="747"/>
        <v>2427</v>
      </c>
      <c r="O451" s="80">
        <f t="shared" si="748"/>
        <v>2679</v>
      </c>
      <c r="P451" s="81"/>
      <c r="Q451" s="81"/>
      <c r="R451" s="81"/>
      <c r="S451" s="81"/>
      <c r="T451" s="81"/>
      <c r="U451" s="81"/>
      <c r="V451" s="81"/>
      <c r="W451" s="81"/>
      <c r="X451" s="81"/>
      <c r="Y451" s="81"/>
      <c r="Z451" s="81"/>
      <c r="AA451" s="81"/>
      <c r="AB451" s="81"/>
      <c r="AC451" s="81"/>
      <c r="AD451" s="81"/>
      <c r="AE451" s="81"/>
      <c r="AF451" s="81"/>
    </row>
    <row r="452" spans="1:32">
      <c r="A452" s="76" t="s">
        <v>1186</v>
      </c>
      <c r="B452" s="79">
        <f>B459*2*0.15</f>
        <v>8295</v>
      </c>
      <c r="C452" s="79">
        <f>C459*2*0.15</f>
        <v>9480</v>
      </c>
      <c r="D452" s="79">
        <f>D459*2*0.15</f>
        <v>10665</v>
      </c>
      <c r="E452" s="79">
        <f>E459*2*0.15</f>
        <v>11835</v>
      </c>
      <c r="F452" s="79">
        <f>F459*2*0.15</f>
        <v>12795</v>
      </c>
      <c r="G452" s="79">
        <f t="shared" ref="G452:I452" si="750">G459*2*0.15</f>
        <v>13740</v>
      </c>
      <c r="H452" s="79">
        <f t="shared" si="750"/>
        <v>14685</v>
      </c>
      <c r="I452" s="79">
        <f t="shared" si="750"/>
        <v>15630</v>
      </c>
      <c r="J452" s="80">
        <f t="shared" si="743"/>
        <v>207</v>
      </c>
      <c r="K452" s="80">
        <f t="shared" si="744"/>
        <v>222</v>
      </c>
      <c r="L452" s="80">
        <f t="shared" si="745"/>
        <v>266</v>
      </c>
      <c r="M452" s="80">
        <f t="shared" si="746"/>
        <v>307</v>
      </c>
      <c r="N452" s="80">
        <f t="shared" si="747"/>
        <v>343</v>
      </c>
      <c r="O452" s="80">
        <f t="shared" si="748"/>
        <v>378</v>
      </c>
      <c r="P452" s="81"/>
      <c r="Q452" s="81"/>
      <c r="R452" s="81"/>
      <c r="S452" s="81"/>
      <c r="T452" s="81"/>
      <c r="U452" s="81"/>
      <c r="V452" s="81"/>
      <c r="W452" s="81"/>
      <c r="X452" s="81"/>
      <c r="Y452" s="81"/>
      <c r="Z452" s="81"/>
      <c r="AA452" s="81"/>
      <c r="AB452" s="81"/>
      <c r="AC452" s="81"/>
      <c r="AD452" s="81"/>
      <c r="AE452" s="81"/>
      <c r="AF452" s="81"/>
    </row>
    <row r="453" spans="1:32">
      <c r="A453" s="76" t="s">
        <v>1187</v>
      </c>
      <c r="B453" s="79">
        <f>B459*2*0.2</f>
        <v>11060</v>
      </c>
      <c r="C453" s="79">
        <f t="shared" ref="C453:I453" si="751">C459*2*0.2</f>
        <v>12640</v>
      </c>
      <c r="D453" s="79">
        <f t="shared" si="751"/>
        <v>14220</v>
      </c>
      <c r="E453" s="79">
        <f t="shared" si="751"/>
        <v>15780</v>
      </c>
      <c r="F453" s="79">
        <f t="shared" si="751"/>
        <v>17060</v>
      </c>
      <c r="G453" s="79">
        <f t="shared" si="751"/>
        <v>18320</v>
      </c>
      <c r="H453" s="79">
        <f t="shared" si="751"/>
        <v>19580</v>
      </c>
      <c r="I453" s="79">
        <f t="shared" si="751"/>
        <v>20840</v>
      </c>
      <c r="J453" s="80">
        <f t="shared" si="743"/>
        <v>276</v>
      </c>
      <c r="K453" s="80">
        <f t="shared" si="744"/>
        <v>296</v>
      </c>
      <c r="L453" s="80">
        <f t="shared" si="745"/>
        <v>355</v>
      </c>
      <c r="M453" s="80">
        <f t="shared" si="746"/>
        <v>410</v>
      </c>
      <c r="N453" s="80">
        <f t="shared" si="747"/>
        <v>458</v>
      </c>
      <c r="O453" s="80">
        <f t="shared" si="748"/>
        <v>505</v>
      </c>
      <c r="P453" s="81"/>
      <c r="Q453" s="81"/>
      <c r="R453" s="81"/>
      <c r="S453" s="81"/>
      <c r="T453" s="81"/>
      <c r="U453" s="81"/>
      <c r="V453" s="81"/>
      <c r="W453" s="81"/>
      <c r="X453" s="81"/>
      <c r="Y453" s="81"/>
      <c r="Z453" s="81"/>
      <c r="AA453" s="81"/>
      <c r="AB453" s="81"/>
      <c r="AC453" s="81"/>
      <c r="AD453" s="81"/>
      <c r="AE453" s="81"/>
      <c r="AF453" s="81"/>
    </row>
    <row r="454" spans="1:32">
      <c r="A454" s="76" t="s">
        <v>1188</v>
      </c>
      <c r="B454" s="79">
        <f>B459*2*0.25</f>
        <v>13825</v>
      </c>
      <c r="C454" s="79">
        <f t="shared" ref="C454:I454" si="752">C459*2*0.25</f>
        <v>15800</v>
      </c>
      <c r="D454" s="79">
        <f t="shared" si="752"/>
        <v>17775</v>
      </c>
      <c r="E454" s="79">
        <f t="shared" si="752"/>
        <v>19725</v>
      </c>
      <c r="F454" s="79">
        <f t="shared" si="752"/>
        <v>21325</v>
      </c>
      <c r="G454" s="79">
        <f t="shared" si="752"/>
        <v>22900</v>
      </c>
      <c r="H454" s="79">
        <f t="shared" si="752"/>
        <v>24475</v>
      </c>
      <c r="I454" s="79">
        <f t="shared" si="752"/>
        <v>26050</v>
      </c>
      <c r="J454" s="80">
        <f t="shared" si="743"/>
        <v>345</v>
      </c>
      <c r="K454" s="80">
        <f t="shared" si="744"/>
        <v>370</v>
      </c>
      <c r="L454" s="80">
        <f t="shared" si="745"/>
        <v>444</v>
      </c>
      <c r="M454" s="80">
        <f t="shared" si="746"/>
        <v>513</v>
      </c>
      <c r="N454" s="80">
        <f t="shared" si="747"/>
        <v>572</v>
      </c>
      <c r="O454" s="80">
        <f t="shared" si="748"/>
        <v>631</v>
      </c>
      <c r="P454" s="81"/>
      <c r="Q454" s="81"/>
      <c r="R454" s="81"/>
      <c r="S454" s="81"/>
      <c r="T454" s="81"/>
      <c r="U454" s="81"/>
      <c r="V454" s="81"/>
      <c r="W454" s="81"/>
      <c r="X454" s="81"/>
      <c r="Y454" s="81"/>
      <c r="Z454" s="81"/>
      <c r="AA454" s="81"/>
      <c r="AB454" s="81"/>
      <c r="AC454" s="81"/>
      <c r="AD454" s="81"/>
      <c r="AE454" s="81"/>
      <c r="AF454" s="81"/>
    </row>
    <row r="455" spans="1:32">
      <c r="A455" s="76" t="s">
        <v>1189</v>
      </c>
      <c r="B455" s="79">
        <f>B459*2*0.3</f>
        <v>16590</v>
      </c>
      <c r="C455" s="79">
        <f t="shared" ref="C455:I455" si="753">C459*2*0.3</f>
        <v>18960</v>
      </c>
      <c r="D455" s="79">
        <f t="shared" si="753"/>
        <v>21330</v>
      </c>
      <c r="E455" s="79">
        <f t="shared" si="753"/>
        <v>23670</v>
      </c>
      <c r="F455" s="79">
        <f t="shared" si="753"/>
        <v>25590</v>
      </c>
      <c r="G455" s="79">
        <f t="shared" si="753"/>
        <v>27480</v>
      </c>
      <c r="H455" s="79">
        <f t="shared" si="753"/>
        <v>29370</v>
      </c>
      <c r="I455" s="79">
        <f t="shared" si="753"/>
        <v>31260</v>
      </c>
      <c r="J455" s="80">
        <f t="shared" si="743"/>
        <v>414</v>
      </c>
      <c r="K455" s="80">
        <f t="shared" si="744"/>
        <v>444</v>
      </c>
      <c r="L455" s="80">
        <f t="shared" si="745"/>
        <v>533</v>
      </c>
      <c r="M455" s="80">
        <f t="shared" si="746"/>
        <v>615</v>
      </c>
      <c r="N455" s="80">
        <f t="shared" si="747"/>
        <v>687</v>
      </c>
      <c r="O455" s="80">
        <f t="shared" si="748"/>
        <v>757</v>
      </c>
      <c r="P455" s="81"/>
      <c r="Q455" s="81"/>
      <c r="R455" s="81"/>
      <c r="S455" s="81"/>
      <c r="T455" s="81"/>
      <c r="U455" s="81"/>
      <c r="V455" s="81"/>
      <c r="W455" s="81"/>
      <c r="X455" s="81"/>
      <c r="Y455" s="81"/>
      <c r="Z455" s="81"/>
      <c r="AA455" s="81"/>
      <c r="AB455" s="81"/>
      <c r="AC455" s="81"/>
      <c r="AD455" s="81"/>
      <c r="AE455" s="81"/>
      <c r="AF455" s="81"/>
    </row>
    <row r="456" spans="1:32">
      <c r="A456" s="76" t="s">
        <v>1190</v>
      </c>
      <c r="B456" s="79">
        <f>B459*2*0.35</f>
        <v>19355</v>
      </c>
      <c r="C456" s="79">
        <f t="shared" ref="C456:I456" si="754">C459*2*0.35</f>
        <v>22120</v>
      </c>
      <c r="D456" s="79">
        <f t="shared" si="754"/>
        <v>24885</v>
      </c>
      <c r="E456" s="79">
        <f t="shared" si="754"/>
        <v>27615</v>
      </c>
      <c r="F456" s="79">
        <f t="shared" si="754"/>
        <v>29854.999999999996</v>
      </c>
      <c r="G456" s="79">
        <f t="shared" si="754"/>
        <v>32059.999999999996</v>
      </c>
      <c r="H456" s="79">
        <f t="shared" si="754"/>
        <v>34265</v>
      </c>
      <c r="I456" s="79">
        <f t="shared" si="754"/>
        <v>36470</v>
      </c>
      <c r="J456" s="80">
        <f t="shared" si="743"/>
        <v>483</v>
      </c>
      <c r="K456" s="80">
        <f t="shared" si="744"/>
        <v>518</v>
      </c>
      <c r="L456" s="80">
        <f t="shared" si="745"/>
        <v>622</v>
      </c>
      <c r="M456" s="80">
        <f t="shared" si="746"/>
        <v>718</v>
      </c>
      <c r="N456" s="80">
        <f t="shared" si="747"/>
        <v>801</v>
      </c>
      <c r="O456" s="80">
        <f t="shared" si="748"/>
        <v>884</v>
      </c>
      <c r="P456" s="81"/>
      <c r="Q456" s="81"/>
      <c r="R456" s="81"/>
      <c r="S456" s="81"/>
      <c r="T456" s="81"/>
      <c r="U456" s="81"/>
      <c r="V456" s="81"/>
      <c r="W456" s="81"/>
      <c r="X456" s="81"/>
      <c r="Y456" s="81"/>
      <c r="Z456" s="81"/>
      <c r="AA456" s="81"/>
      <c r="AB456" s="81"/>
      <c r="AC456" s="81"/>
      <c r="AD456" s="81"/>
      <c r="AE456" s="81"/>
      <c r="AF456" s="81"/>
    </row>
    <row r="457" spans="1:32">
      <c r="A457" s="76" t="s">
        <v>1191</v>
      </c>
      <c r="B457" s="79">
        <f>B459*2*0.4</f>
        <v>22120</v>
      </c>
      <c r="C457" s="79">
        <f t="shared" ref="C457:I457" si="755">C459*2*0.4</f>
        <v>25280</v>
      </c>
      <c r="D457" s="79">
        <f t="shared" si="755"/>
        <v>28440</v>
      </c>
      <c r="E457" s="79">
        <f t="shared" si="755"/>
        <v>31560</v>
      </c>
      <c r="F457" s="79">
        <f t="shared" si="755"/>
        <v>34120</v>
      </c>
      <c r="G457" s="79">
        <f t="shared" si="755"/>
        <v>36640</v>
      </c>
      <c r="H457" s="79">
        <f t="shared" si="755"/>
        <v>39160</v>
      </c>
      <c r="I457" s="79">
        <f t="shared" si="755"/>
        <v>41680</v>
      </c>
      <c r="J457" s="80">
        <f t="shared" si="743"/>
        <v>553</v>
      </c>
      <c r="K457" s="80">
        <f t="shared" si="744"/>
        <v>592</v>
      </c>
      <c r="L457" s="80">
        <f t="shared" si="745"/>
        <v>711</v>
      </c>
      <c r="M457" s="80">
        <f t="shared" si="746"/>
        <v>821</v>
      </c>
      <c r="N457" s="80">
        <f t="shared" si="747"/>
        <v>916</v>
      </c>
      <c r="O457" s="80">
        <f t="shared" si="748"/>
        <v>1010</v>
      </c>
      <c r="P457" s="81"/>
      <c r="Q457" s="81"/>
      <c r="R457" s="81"/>
      <c r="S457" s="81"/>
      <c r="T457" s="81"/>
      <c r="U457" s="81"/>
      <c r="V457" s="81"/>
      <c r="W457" s="81"/>
      <c r="X457" s="81"/>
      <c r="Y457" s="81"/>
      <c r="Z457" s="81"/>
      <c r="AA457" s="81"/>
      <c r="AB457" s="81"/>
      <c r="AC457" s="81"/>
      <c r="AD457" s="81"/>
      <c r="AE457" s="81"/>
      <c r="AF457" s="81"/>
    </row>
    <row r="458" spans="1:32">
      <c r="A458" s="76" t="s">
        <v>1192</v>
      </c>
      <c r="B458" s="79">
        <f>B459*2*0.45</f>
        <v>24885</v>
      </c>
      <c r="C458" s="79">
        <f t="shared" ref="C458:I458" si="756">C459*2*0.45</f>
        <v>28440</v>
      </c>
      <c r="D458" s="79">
        <f t="shared" si="756"/>
        <v>31995</v>
      </c>
      <c r="E458" s="79">
        <f t="shared" si="756"/>
        <v>35505</v>
      </c>
      <c r="F458" s="79">
        <f t="shared" si="756"/>
        <v>38385</v>
      </c>
      <c r="G458" s="79">
        <f t="shared" si="756"/>
        <v>41220</v>
      </c>
      <c r="H458" s="79">
        <f t="shared" si="756"/>
        <v>44055</v>
      </c>
      <c r="I458" s="79">
        <f t="shared" si="756"/>
        <v>46890</v>
      </c>
      <c r="J458" s="80">
        <f t="shared" si="743"/>
        <v>622</v>
      </c>
      <c r="K458" s="80">
        <f t="shared" si="744"/>
        <v>666</v>
      </c>
      <c r="L458" s="80">
        <f t="shared" si="745"/>
        <v>799</v>
      </c>
      <c r="M458" s="80">
        <f t="shared" si="746"/>
        <v>923</v>
      </c>
      <c r="N458" s="80">
        <f t="shared" si="747"/>
        <v>1030</v>
      </c>
      <c r="O458" s="80">
        <f t="shared" si="748"/>
        <v>1136</v>
      </c>
      <c r="P458" s="81"/>
      <c r="Q458" s="81"/>
      <c r="R458" s="81"/>
      <c r="S458" s="81"/>
      <c r="T458" s="81"/>
      <c r="U458" s="81"/>
      <c r="V458" s="81"/>
      <c r="W458" s="81"/>
      <c r="X458" s="81"/>
      <c r="Y458" s="81"/>
      <c r="Z458" s="81"/>
      <c r="AA458" s="81"/>
      <c r="AB458" s="81"/>
      <c r="AC458" s="81"/>
      <c r="AD458" s="81"/>
      <c r="AE458" s="81"/>
      <c r="AF458" s="81"/>
    </row>
    <row r="459" spans="1:32">
      <c r="A459" s="82" t="s">
        <v>1193</v>
      </c>
      <c r="B459" s="84">
        <f>'MTSP 50% Income Limits '!B27</f>
        <v>27650</v>
      </c>
      <c r="C459" s="84">
        <f>'MTSP 50% Income Limits '!C27</f>
        <v>31600</v>
      </c>
      <c r="D459" s="84">
        <f>'MTSP 50% Income Limits '!D27</f>
        <v>35550</v>
      </c>
      <c r="E459" s="84">
        <f>'MTSP 50% Income Limits '!E27</f>
        <v>39450</v>
      </c>
      <c r="F459" s="84">
        <f>'MTSP 50% Income Limits '!F27</f>
        <v>42650</v>
      </c>
      <c r="G459" s="84">
        <f>'MTSP 50% Income Limits '!G27</f>
        <v>45800</v>
      </c>
      <c r="H459" s="84">
        <f>'MTSP 50% Income Limits '!H27</f>
        <v>48950</v>
      </c>
      <c r="I459" s="84">
        <f>'MTSP 50% Income Limits '!I27</f>
        <v>52100</v>
      </c>
      <c r="J459" s="83">
        <f>TRUNC(B459/12*0.3)</f>
        <v>691</v>
      </c>
      <c r="K459" s="83">
        <f>TRUNC((B459+C459)/2/12*0.3)</f>
        <v>740</v>
      </c>
      <c r="L459" s="83">
        <f>TRUNC((D459)/12*0.3)</f>
        <v>888</v>
      </c>
      <c r="M459" s="83">
        <f>TRUNC(((E459+F459)/2)/12*0.3)</f>
        <v>1026</v>
      </c>
      <c r="N459" s="83">
        <f>TRUNC(G459/12*0.3)</f>
        <v>1145</v>
      </c>
      <c r="O459" s="83">
        <f>TRUNC(((H459+I459)/2)/12*0.3)</f>
        <v>1263</v>
      </c>
      <c r="P459" s="81"/>
      <c r="Q459" s="81"/>
      <c r="R459" s="81"/>
      <c r="S459" s="81"/>
      <c r="T459" s="81"/>
      <c r="U459" s="81"/>
      <c r="V459" s="81"/>
      <c r="W459" s="81"/>
      <c r="X459" s="81"/>
      <c r="Y459" s="81"/>
      <c r="Z459" s="81"/>
      <c r="AA459" s="81"/>
      <c r="AB459" s="81"/>
      <c r="AC459" s="81"/>
      <c r="AD459" s="81"/>
      <c r="AE459" s="81"/>
      <c r="AF459" s="81"/>
    </row>
    <row r="460" spans="1:32">
      <c r="A460" s="76" t="s">
        <v>1194</v>
      </c>
      <c r="B460" s="79">
        <f>B459*2*0.55</f>
        <v>30415.000000000004</v>
      </c>
      <c r="C460" s="79">
        <f t="shared" ref="C460:I460" si="757">C459*2*0.55</f>
        <v>34760</v>
      </c>
      <c r="D460" s="79">
        <f t="shared" si="757"/>
        <v>39105</v>
      </c>
      <c r="E460" s="79">
        <f t="shared" si="757"/>
        <v>43395</v>
      </c>
      <c r="F460" s="79">
        <f t="shared" si="757"/>
        <v>46915.000000000007</v>
      </c>
      <c r="G460" s="79">
        <f t="shared" si="757"/>
        <v>50380.000000000007</v>
      </c>
      <c r="H460" s="79">
        <f t="shared" si="757"/>
        <v>53845.000000000007</v>
      </c>
      <c r="I460" s="79">
        <f t="shared" si="757"/>
        <v>57310.000000000007</v>
      </c>
      <c r="J460" s="80">
        <f t="shared" ref="J460:J466" si="758">TRUNC(B460/12*0.3)</f>
        <v>760</v>
      </c>
      <c r="K460" s="80">
        <f t="shared" ref="K460:K466" si="759">TRUNC((B460+C460)/2/12*0.3)</f>
        <v>814</v>
      </c>
      <c r="L460" s="80">
        <f t="shared" ref="L460:L466" si="760">TRUNC((D460)/12*0.3)</f>
        <v>977</v>
      </c>
      <c r="M460" s="80">
        <f t="shared" ref="M460:M466" si="761">TRUNC(((E460+F460)/2)/12*0.3)</f>
        <v>1128</v>
      </c>
      <c r="N460" s="80">
        <f t="shared" ref="N460:N466" si="762">TRUNC(G460/12*0.3)</f>
        <v>1259</v>
      </c>
      <c r="O460" s="80">
        <f t="shared" ref="O460:O466" si="763">TRUNC(((H460+I460)/2)/12*0.3)</f>
        <v>1389</v>
      </c>
      <c r="P460" s="81"/>
      <c r="Q460" s="81"/>
      <c r="R460" s="81"/>
      <c r="S460" s="81"/>
      <c r="T460" s="81"/>
      <c r="U460" s="81"/>
      <c r="V460" s="81"/>
      <c r="W460" s="81"/>
      <c r="X460" s="81"/>
      <c r="Y460" s="81"/>
      <c r="Z460" s="81"/>
      <c r="AA460" s="81"/>
      <c r="AB460" s="81"/>
      <c r="AC460" s="81"/>
      <c r="AD460" s="81"/>
      <c r="AE460" s="81"/>
      <c r="AF460" s="81"/>
    </row>
    <row r="461" spans="1:32">
      <c r="A461" s="76" t="s">
        <v>1195</v>
      </c>
      <c r="B461" s="79">
        <f>B459*2*0.6</f>
        <v>33180</v>
      </c>
      <c r="C461" s="79">
        <f t="shared" ref="C461:I461" si="764">C459*2*0.6</f>
        <v>37920</v>
      </c>
      <c r="D461" s="79">
        <f t="shared" si="764"/>
        <v>42660</v>
      </c>
      <c r="E461" s="79">
        <f t="shared" si="764"/>
        <v>47340</v>
      </c>
      <c r="F461" s="79">
        <f t="shared" si="764"/>
        <v>51180</v>
      </c>
      <c r="G461" s="79">
        <f t="shared" si="764"/>
        <v>54960</v>
      </c>
      <c r="H461" s="79">
        <f t="shared" si="764"/>
        <v>58740</v>
      </c>
      <c r="I461" s="79">
        <f t="shared" si="764"/>
        <v>62520</v>
      </c>
      <c r="J461" s="80">
        <f t="shared" si="758"/>
        <v>829</v>
      </c>
      <c r="K461" s="80">
        <f t="shared" si="759"/>
        <v>888</v>
      </c>
      <c r="L461" s="80">
        <f t="shared" si="760"/>
        <v>1066</v>
      </c>
      <c r="M461" s="80">
        <f t="shared" si="761"/>
        <v>1231</v>
      </c>
      <c r="N461" s="80">
        <f t="shared" si="762"/>
        <v>1374</v>
      </c>
      <c r="O461" s="80">
        <f t="shared" si="763"/>
        <v>1515</v>
      </c>
      <c r="P461" s="81"/>
      <c r="Q461" s="81"/>
      <c r="R461" s="81"/>
      <c r="S461" s="81"/>
      <c r="T461" s="81"/>
      <c r="U461" s="81"/>
      <c r="V461" s="81"/>
      <c r="W461" s="81"/>
      <c r="X461" s="81"/>
      <c r="Y461" s="81"/>
      <c r="Z461" s="81"/>
      <c r="AA461" s="81"/>
      <c r="AB461" s="81"/>
      <c r="AC461" s="81"/>
      <c r="AD461" s="81"/>
      <c r="AE461" s="81"/>
      <c r="AF461" s="81"/>
    </row>
    <row r="462" spans="1:32">
      <c r="A462" s="76" t="s">
        <v>1196</v>
      </c>
      <c r="B462" s="79">
        <f>B459*2*0.65</f>
        <v>35945</v>
      </c>
      <c r="C462" s="79">
        <f t="shared" ref="C462:I462" si="765">C459*2*0.65</f>
        <v>41080</v>
      </c>
      <c r="D462" s="79">
        <f t="shared" si="765"/>
        <v>46215</v>
      </c>
      <c r="E462" s="79">
        <f t="shared" si="765"/>
        <v>51285</v>
      </c>
      <c r="F462" s="79">
        <f t="shared" si="765"/>
        <v>55445</v>
      </c>
      <c r="G462" s="79">
        <f t="shared" si="765"/>
        <v>59540</v>
      </c>
      <c r="H462" s="79">
        <f t="shared" si="765"/>
        <v>63635</v>
      </c>
      <c r="I462" s="79">
        <f t="shared" si="765"/>
        <v>67730</v>
      </c>
      <c r="J462" s="80">
        <f t="shared" si="758"/>
        <v>898</v>
      </c>
      <c r="K462" s="80">
        <f t="shared" si="759"/>
        <v>962</v>
      </c>
      <c r="L462" s="80">
        <f t="shared" si="760"/>
        <v>1155</v>
      </c>
      <c r="M462" s="80">
        <f t="shared" si="761"/>
        <v>1334</v>
      </c>
      <c r="N462" s="80">
        <f t="shared" si="762"/>
        <v>1488</v>
      </c>
      <c r="O462" s="80">
        <f t="shared" si="763"/>
        <v>1642</v>
      </c>
      <c r="P462" s="81"/>
      <c r="Q462" s="81"/>
      <c r="R462" s="81"/>
      <c r="S462" s="81"/>
      <c r="T462" s="81"/>
      <c r="U462" s="81"/>
      <c r="V462" s="81"/>
      <c r="W462" s="81"/>
      <c r="X462" s="81"/>
      <c r="Y462" s="81"/>
      <c r="Z462" s="81"/>
      <c r="AA462" s="81"/>
      <c r="AB462" s="81"/>
      <c r="AC462" s="81"/>
      <c r="AD462" s="81"/>
      <c r="AE462" s="81"/>
      <c r="AF462" s="81"/>
    </row>
    <row r="463" spans="1:32">
      <c r="A463" s="76" t="s">
        <v>1197</v>
      </c>
      <c r="B463" s="79">
        <f>B459*2*0.7</f>
        <v>38710</v>
      </c>
      <c r="C463" s="79">
        <f t="shared" ref="C463:I463" si="766">C459*2*0.7</f>
        <v>44240</v>
      </c>
      <c r="D463" s="79">
        <f t="shared" si="766"/>
        <v>49770</v>
      </c>
      <c r="E463" s="79">
        <f t="shared" si="766"/>
        <v>55230</v>
      </c>
      <c r="F463" s="79">
        <f t="shared" si="766"/>
        <v>59709.999999999993</v>
      </c>
      <c r="G463" s="79">
        <f t="shared" si="766"/>
        <v>64119.999999999993</v>
      </c>
      <c r="H463" s="79">
        <f t="shared" si="766"/>
        <v>68530</v>
      </c>
      <c r="I463" s="79">
        <f t="shared" si="766"/>
        <v>72940</v>
      </c>
      <c r="J463" s="80">
        <f t="shared" si="758"/>
        <v>967</v>
      </c>
      <c r="K463" s="80">
        <f t="shared" si="759"/>
        <v>1036</v>
      </c>
      <c r="L463" s="80">
        <f t="shared" si="760"/>
        <v>1244</v>
      </c>
      <c r="M463" s="80">
        <f t="shared" si="761"/>
        <v>1436</v>
      </c>
      <c r="N463" s="80">
        <f t="shared" si="762"/>
        <v>1603</v>
      </c>
      <c r="O463" s="80">
        <f t="shared" si="763"/>
        <v>1768</v>
      </c>
      <c r="P463" s="81"/>
      <c r="Q463" s="81"/>
      <c r="R463" s="81"/>
      <c r="S463" s="81"/>
      <c r="T463" s="81"/>
      <c r="U463" s="81"/>
      <c r="V463" s="81"/>
      <c r="W463" s="81"/>
      <c r="X463" s="81"/>
      <c r="Y463" s="81"/>
      <c r="Z463" s="81"/>
      <c r="AA463" s="81"/>
      <c r="AB463" s="81"/>
      <c r="AC463" s="81"/>
      <c r="AD463" s="81"/>
      <c r="AE463" s="81"/>
      <c r="AF463" s="81"/>
    </row>
    <row r="464" spans="1:32">
      <c r="A464" s="76" t="s">
        <v>1198</v>
      </c>
      <c r="B464" s="79">
        <f>B459*2*0.75</f>
        <v>41475</v>
      </c>
      <c r="C464" s="79">
        <f t="shared" ref="C464:I464" si="767">C459*2*0.75</f>
        <v>47400</v>
      </c>
      <c r="D464" s="79">
        <f t="shared" si="767"/>
        <v>53325</v>
      </c>
      <c r="E464" s="79">
        <f t="shared" si="767"/>
        <v>59175</v>
      </c>
      <c r="F464" s="79">
        <f t="shared" si="767"/>
        <v>63975</v>
      </c>
      <c r="G464" s="79">
        <f t="shared" si="767"/>
        <v>68700</v>
      </c>
      <c r="H464" s="79">
        <f t="shared" si="767"/>
        <v>73425</v>
      </c>
      <c r="I464" s="79">
        <f t="shared" si="767"/>
        <v>78150</v>
      </c>
      <c r="J464" s="80">
        <f t="shared" si="758"/>
        <v>1036</v>
      </c>
      <c r="K464" s="80">
        <f t="shared" si="759"/>
        <v>1110</v>
      </c>
      <c r="L464" s="80">
        <f t="shared" si="760"/>
        <v>1333</v>
      </c>
      <c r="M464" s="80">
        <f t="shared" si="761"/>
        <v>1539</v>
      </c>
      <c r="N464" s="80">
        <f t="shared" si="762"/>
        <v>1717</v>
      </c>
      <c r="O464" s="80">
        <f t="shared" si="763"/>
        <v>1894</v>
      </c>
      <c r="P464" s="81"/>
      <c r="Q464" s="81"/>
      <c r="R464" s="81"/>
      <c r="S464" s="81"/>
      <c r="T464" s="81"/>
      <c r="U464" s="81"/>
      <c r="V464" s="81"/>
      <c r="W464" s="81"/>
      <c r="X464" s="81"/>
      <c r="Y464" s="81"/>
      <c r="Z464" s="81"/>
      <c r="AA464" s="81"/>
      <c r="AB464" s="81"/>
      <c r="AC464" s="81"/>
      <c r="AD464" s="81"/>
      <c r="AE464" s="81"/>
      <c r="AF464" s="81"/>
    </row>
    <row r="465" spans="1:32">
      <c r="A465" s="76" t="s">
        <v>1199</v>
      </c>
      <c r="B465" s="79">
        <f>B459*2*0.8</f>
        <v>44240</v>
      </c>
      <c r="C465" s="79">
        <f t="shared" ref="C465:I465" si="768">C459*2*0.8</f>
        <v>50560</v>
      </c>
      <c r="D465" s="79">
        <f t="shared" si="768"/>
        <v>56880</v>
      </c>
      <c r="E465" s="79">
        <f t="shared" si="768"/>
        <v>63120</v>
      </c>
      <c r="F465" s="79">
        <f t="shared" si="768"/>
        <v>68240</v>
      </c>
      <c r="G465" s="79">
        <f t="shared" si="768"/>
        <v>73280</v>
      </c>
      <c r="H465" s="79">
        <f t="shared" si="768"/>
        <v>78320</v>
      </c>
      <c r="I465" s="79">
        <f t="shared" si="768"/>
        <v>83360</v>
      </c>
      <c r="J465" s="80">
        <f t="shared" si="758"/>
        <v>1106</v>
      </c>
      <c r="K465" s="80">
        <f t="shared" si="759"/>
        <v>1185</v>
      </c>
      <c r="L465" s="80">
        <f t="shared" si="760"/>
        <v>1422</v>
      </c>
      <c r="M465" s="80">
        <f t="shared" si="761"/>
        <v>1642</v>
      </c>
      <c r="N465" s="80">
        <f t="shared" si="762"/>
        <v>1832</v>
      </c>
      <c r="O465" s="80">
        <f t="shared" si="763"/>
        <v>2021</v>
      </c>
      <c r="P465" s="81"/>
      <c r="Q465" s="81"/>
      <c r="R465" s="81"/>
      <c r="S465" s="81"/>
      <c r="T465" s="81"/>
      <c r="U465" s="81"/>
      <c r="V465" s="81"/>
      <c r="W465" s="81"/>
      <c r="X465" s="81"/>
      <c r="Y465" s="81"/>
      <c r="Z465" s="81"/>
      <c r="AA465" s="81"/>
      <c r="AB465" s="81"/>
      <c r="AC465" s="81"/>
      <c r="AD465" s="81"/>
      <c r="AE465" s="81"/>
      <c r="AF465" s="81"/>
    </row>
    <row r="466" spans="1:32">
      <c r="A466" s="76" t="s">
        <v>1200</v>
      </c>
      <c r="B466" s="79">
        <f>B459*2*0.9</f>
        <v>49770</v>
      </c>
      <c r="C466" s="79">
        <f t="shared" ref="C466:I466" si="769">C459*2*0.9</f>
        <v>56880</v>
      </c>
      <c r="D466" s="79">
        <f t="shared" si="769"/>
        <v>63990</v>
      </c>
      <c r="E466" s="79">
        <f t="shared" si="769"/>
        <v>71010</v>
      </c>
      <c r="F466" s="79">
        <f t="shared" si="769"/>
        <v>76770</v>
      </c>
      <c r="G466" s="79">
        <f t="shared" si="769"/>
        <v>82440</v>
      </c>
      <c r="H466" s="79">
        <f t="shared" si="769"/>
        <v>88110</v>
      </c>
      <c r="I466" s="79">
        <f t="shared" si="769"/>
        <v>93780</v>
      </c>
      <c r="J466" s="80">
        <f t="shared" si="758"/>
        <v>1244</v>
      </c>
      <c r="K466" s="80">
        <f t="shared" si="759"/>
        <v>1333</v>
      </c>
      <c r="L466" s="80">
        <f t="shared" si="760"/>
        <v>1599</v>
      </c>
      <c r="M466" s="80">
        <f t="shared" si="761"/>
        <v>1847</v>
      </c>
      <c r="N466" s="80">
        <f t="shared" si="762"/>
        <v>2061</v>
      </c>
      <c r="O466" s="80">
        <f t="shared" si="763"/>
        <v>2273</v>
      </c>
      <c r="P466" s="81"/>
      <c r="Q466" s="81"/>
      <c r="R466" s="81"/>
      <c r="S466" s="81"/>
      <c r="T466" s="81"/>
      <c r="U466" s="81"/>
      <c r="V466" s="81"/>
      <c r="W466" s="81"/>
      <c r="X466" s="81"/>
      <c r="Y466" s="81"/>
      <c r="Z466" s="81"/>
      <c r="AA466" s="81"/>
      <c r="AB466" s="81"/>
      <c r="AC466" s="81"/>
      <c r="AD466" s="81"/>
      <c r="AE466" s="81"/>
      <c r="AF466" s="81"/>
    </row>
    <row r="467" spans="1:32">
      <c r="A467" s="76" t="s">
        <v>1201</v>
      </c>
      <c r="B467" s="79">
        <f>B459*2</f>
        <v>55300</v>
      </c>
      <c r="C467" s="79">
        <f t="shared" ref="C467:I467" si="770">C459*2</f>
        <v>63200</v>
      </c>
      <c r="D467" s="79">
        <f t="shared" si="770"/>
        <v>71100</v>
      </c>
      <c r="E467" s="79">
        <f t="shared" si="770"/>
        <v>78900</v>
      </c>
      <c r="F467" s="79">
        <f t="shared" si="770"/>
        <v>85300</v>
      </c>
      <c r="G467" s="79">
        <f t="shared" si="770"/>
        <v>91600</v>
      </c>
      <c r="H467" s="79">
        <f t="shared" si="770"/>
        <v>97900</v>
      </c>
      <c r="I467" s="79">
        <f t="shared" si="770"/>
        <v>104200</v>
      </c>
      <c r="J467" s="80">
        <f>J459*2</f>
        <v>1382</v>
      </c>
      <c r="K467" s="80">
        <f t="shared" ref="K467:O467" si="771">K459*2</f>
        <v>1480</v>
      </c>
      <c r="L467" s="80">
        <f t="shared" si="771"/>
        <v>1776</v>
      </c>
      <c r="M467" s="80">
        <f t="shared" si="771"/>
        <v>2052</v>
      </c>
      <c r="N467" s="80">
        <f t="shared" si="771"/>
        <v>2290</v>
      </c>
      <c r="O467" s="80">
        <f t="shared" si="771"/>
        <v>2526</v>
      </c>
      <c r="P467" s="81"/>
      <c r="Q467" s="81"/>
      <c r="R467" s="81"/>
      <c r="S467" s="81"/>
      <c r="T467" s="81"/>
      <c r="U467" s="81"/>
      <c r="V467" s="81"/>
      <c r="W467" s="81"/>
      <c r="X467" s="81"/>
      <c r="Y467" s="81"/>
      <c r="Z467" s="81"/>
      <c r="AA467" s="81"/>
      <c r="AB467" s="81"/>
      <c r="AC467" s="81"/>
      <c r="AD467" s="81"/>
      <c r="AE467" s="81"/>
      <c r="AF467" s="81"/>
    </row>
    <row r="468" spans="1:32">
      <c r="A468" s="76" t="s">
        <v>1202</v>
      </c>
      <c r="B468" s="79">
        <f>B459*2*1.1</f>
        <v>60830.000000000007</v>
      </c>
      <c r="C468" s="79">
        <f t="shared" ref="C468:I468" si="772">C459*2*1.1</f>
        <v>69520</v>
      </c>
      <c r="D468" s="79">
        <f t="shared" si="772"/>
        <v>78210</v>
      </c>
      <c r="E468" s="79">
        <f t="shared" si="772"/>
        <v>86790</v>
      </c>
      <c r="F468" s="79">
        <f t="shared" si="772"/>
        <v>93830.000000000015</v>
      </c>
      <c r="G468" s="79">
        <f t="shared" si="772"/>
        <v>100760.00000000001</v>
      </c>
      <c r="H468" s="79">
        <f t="shared" si="772"/>
        <v>107690.00000000001</v>
      </c>
      <c r="I468" s="79">
        <f t="shared" si="772"/>
        <v>114620.00000000001</v>
      </c>
      <c r="J468" s="80">
        <f t="shared" ref="J468:J476" si="773">TRUNC(B468/12*0.3)</f>
        <v>1520</v>
      </c>
      <c r="K468" s="80">
        <f t="shared" ref="K468:K476" si="774">TRUNC((B468+C468)/2/12*0.3)</f>
        <v>1629</v>
      </c>
      <c r="L468" s="80">
        <f t="shared" ref="L468:L476" si="775">TRUNC((D468)/12*0.3)</f>
        <v>1955</v>
      </c>
      <c r="M468" s="80">
        <f t="shared" ref="M468:M476" si="776">TRUNC(((E468+F468)/2)/12*0.3)</f>
        <v>2257</v>
      </c>
      <c r="N468" s="80">
        <f t="shared" ref="N468:N476" si="777">TRUNC(G468/12*0.3)</f>
        <v>2519</v>
      </c>
      <c r="O468" s="80">
        <f t="shared" ref="O468:O476" si="778">TRUNC(((H468+I468)/2)/12*0.3)</f>
        <v>2778</v>
      </c>
      <c r="P468" s="81"/>
      <c r="Q468" s="81"/>
      <c r="R468" s="81"/>
      <c r="S468" s="81"/>
      <c r="T468" s="81"/>
      <c r="U468" s="81"/>
      <c r="V468" s="81"/>
      <c r="W468" s="81"/>
      <c r="X468" s="81"/>
      <c r="Y468" s="81"/>
      <c r="Z468" s="81"/>
      <c r="AA468" s="81"/>
      <c r="AB468" s="81"/>
      <c r="AC468" s="81"/>
      <c r="AD468" s="81"/>
      <c r="AE468" s="81"/>
      <c r="AF468" s="81"/>
    </row>
    <row r="469" spans="1:32">
      <c r="A469" s="76" t="s">
        <v>1203</v>
      </c>
      <c r="B469" s="79">
        <f>B459*2*1.2</f>
        <v>66360</v>
      </c>
      <c r="C469" s="79">
        <f t="shared" ref="C469:I469" si="779">C459*2*1.2</f>
        <v>75840</v>
      </c>
      <c r="D469" s="79">
        <f t="shared" si="779"/>
        <v>85320</v>
      </c>
      <c r="E469" s="79">
        <f t="shared" si="779"/>
        <v>94680</v>
      </c>
      <c r="F469" s="79">
        <f t="shared" si="779"/>
        <v>102360</v>
      </c>
      <c r="G469" s="79">
        <f t="shared" si="779"/>
        <v>109920</v>
      </c>
      <c r="H469" s="79">
        <f t="shared" si="779"/>
        <v>117480</v>
      </c>
      <c r="I469" s="79">
        <f t="shared" si="779"/>
        <v>125040</v>
      </c>
      <c r="J469" s="80">
        <f t="shared" si="773"/>
        <v>1659</v>
      </c>
      <c r="K469" s="80">
        <f t="shared" si="774"/>
        <v>1777</v>
      </c>
      <c r="L469" s="80">
        <f t="shared" si="775"/>
        <v>2133</v>
      </c>
      <c r="M469" s="80">
        <f t="shared" si="776"/>
        <v>2463</v>
      </c>
      <c r="N469" s="80">
        <f t="shared" si="777"/>
        <v>2748</v>
      </c>
      <c r="O469" s="80">
        <f t="shared" si="778"/>
        <v>3031</v>
      </c>
      <c r="P469" s="81"/>
      <c r="Q469" s="81"/>
      <c r="R469" s="81"/>
      <c r="S469" s="81"/>
      <c r="T469" s="81"/>
      <c r="U469" s="81"/>
      <c r="V469" s="81"/>
      <c r="W469" s="81"/>
      <c r="X469" s="81"/>
      <c r="Y469" s="81"/>
      <c r="Z469" s="81"/>
      <c r="AA469" s="81"/>
      <c r="AB469" s="81"/>
      <c r="AC469" s="81"/>
      <c r="AD469" s="81"/>
      <c r="AE469" s="81"/>
      <c r="AF469" s="81"/>
    </row>
    <row r="470" spans="1:32">
      <c r="A470" s="76" t="s">
        <v>1204</v>
      </c>
      <c r="B470" s="79">
        <f>B477*2*0.15</f>
        <v>10680</v>
      </c>
      <c r="C470" s="79">
        <f>C477*2*0.15</f>
        <v>12210</v>
      </c>
      <c r="D470" s="79">
        <f>D477*2*0.15</f>
        <v>13740</v>
      </c>
      <c r="E470" s="79">
        <f>E477*2*0.15</f>
        <v>15255</v>
      </c>
      <c r="F470" s="79">
        <f>F477*2*0.15</f>
        <v>16485</v>
      </c>
      <c r="G470" s="79">
        <f t="shared" ref="G470:I470" si="780">G477*2*0.15</f>
        <v>17700</v>
      </c>
      <c r="H470" s="79">
        <f t="shared" si="780"/>
        <v>18930</v>
      </c>
      <c r="I470" s="79">
        <f t="shared" si="780"/>
        <v>20145</v>
      </c>
      <c r="J470" s="80">
        <f t="shared" si="773"/>
        <v>267</v>
      </c>
      <c r="K470" s="80">
        <f t="shared" si="774"/>
        <v>286</v>
      </c>
      <c r="L470" s="80">
        <f t="shared" si="775"/>
        <v>343</v>
      </c>
      <c r="M470" s="80">
        <f t="shared" si="776"/>
        <v>396</v>
      </c>
      <c r="N470" s="80">
        <f t="shared" si="777"/>
        <v>442</v>
      </c>
      <c r="O470" s="80">
        <f t="shared" si="778"/>
        <v>488</v>
      </c>
      <c r="P470" s="81"/>
      <c r="Q470" s="81"/>
      <c r="R470" s="81"/>
      <c r="S470" s="81"/>
      <c r="T470" s="81"/>
      <c r="U470" s="81"/>
      <c r="V470" s="81"/>
      <c r="W470" s="81"/>
      <c r="X470" s="81"/>
      <c r="Y470" s="81"/>
      <c r="Z470" s="81"/>
      <c r="AA470" s="81"/>
      <c r="AB470" s="81"/>
      <c r="AC470" s="81"/>
      <c r="AD470" s="81"/>
      <c r="AE470" s="81"/>
      <c r="AF470" s="81"/>
    </row>
    <row r="471" spans="1:32">
      <c r="A471" s="76" t="s">
        <v>1205</v>
      </c>
      <c r="B471" s="79">
        <f>B477*2*0.2</f>
        <v>14240</v>
      </c>
      <c r="C471" s="79">
        <f t="shared" ref="C471:I471" si="781">C477*2*0.2</f>
        <v>16280</v>
      </c>
      <c r="D471" s="79">
        <f t="shared" si="781"/>
        <v>18320</v>
      </c>
      <c r="E471" s="79">
        <f t="shared" si="781"/>
        <v>20340</v>
      </c>
      <c r="F471" s="79">
        <f t="shared" si="781"/>
        <v>21980</v>
      </c>
      <c r="G471" s="79">
        <f t="shared" si="781"/>
        <v>23600</v>
      </c>
      <c r="H471" s="79">
        <f t="shared" si="781"/>
        <v>25240</v>
      </c>
      <c r="I471" s="79">
        <f t="shared" si="781"/>
        <v>26860</v>
      </c>
      <c r="J471" s="80">
        <f t="shared" si="773"/>
        <v>356</v>
      </c>
      <c r="K471" s="80">
        <f t="shared" si="774"/>
        <v>381</v>
      </c>
      <c r="L471" s="80">
        <f t="shared" si="775"/>
        <v>458</v>
      </c>
      <c r="M471" s="80">
        <f t="shared" si="776"/>
        <v>529</v>
      </c>
      <c r="N471" s="80">
        <f t="shared" si="777"/>
        <v>590</v>
      </c>
      <c r="O471" s="80">
        <f t="shared" si="778"/>
        <v>651</v>
      </c>
      <c r="P471" s="81"/>
      <c r="Q471" s="81"/>
      <c r="R471" s="81"/>
      <c r="S471" s="81"/>
      <c r="T471" s="81"/>
      <c r="U471" s="81"/>
      <c r="V471" s="81"/>
      <c r="W471" s="81"/>
      <c r="X471" s="81"/>
      <c r="Y471" s="81"/>
      <c r="Z471" s="81"/>
      <c r="AA471" s="81"/>
      <c r="AB471" s="81"/>
      <c r="AC471" s="81"/>
      <c r="AD471" s="81"/>
      <c r="AE471" s="81"/>
      <c r="AF471" s="81"/>
    </row>
    <row r="472" spans="1:32">
      <c r="A472" s="76" t="s">
        <v>1206</v>
      </c>
      <c r="B472" s="79">
        <f>B477*2*0.25</f>
        <v>17800</v>
      </c>
      <c r="C472" s="79">
        <f t="shared" ref="C472:I472" si="782">C477*2*0.25</f>
        <v>20350</v>
      </c>
      <c r="D472" s="79">
        <f t="shared" si="782"/>
        <v>22900</v>
      </c>
      <c r="E472" s="79">
        <f t="shared" si="782"/>
        <v>25425</v>
      </c>
      <c r="F472" s="79">
        <f t="shared" si="782"/>
        <v>27475</v>
      </c>
      <c r="G472" s="79">
        <f t="shared" si="782"/>
        <v>29500</v>
      </c>
      <c r="H472" s="79">
        <f t="shared" si="782"/>
        <v>31550</v>
      </c>
      <c r="I472" s="79">
        <f t="shared" si="782"/>
        <v>33575</v>
      </c>
      <c r="J472" s="80">
        <f t="shared" si="773"/>
        <v>445</v>
      </c>
      <c r="K472" s="80">
        <f t="shared" si="774"/>
        <v>476</v>
      </c>
      <c r="L472" s="80">
        <f t="shared" si="775"/>
        <v>572</v>
      </c>
      <c r="M472" s="80">
        <f t="shared" si="776"/>
        <v>661</v>
      </c>
      <c r="N472" s="80">
        <f t="shared" si="777"/>
        <v>737</v>
      </c>
      <c r="O472" s="80">
        <f t="shared" si="778"/>
        <v>814</v>
      </c>
      <c r="P472" s="81"/>
      <c r="Q472" s="81"/>
      <c r="R472" s="81"/>
      <c r="S472" s="81"/>
      <c r="T472" s="81"/>
      <c r="U472" s="81"/>
      <c r="V472" s="81"/>
      <c r="W472" s="81"/>
      <c r="X472" s="81"/>
      <c r="Y472" s="81"/>
      <c r="Z472" s="81"/>
      <c r="AA472" s="81"/>
      <c r="AB472" s="81"/>
      <c r="AC472" s="81"/>
      <c r="AD472" s="81"/>
      <c r="AE472" s="81"/>
      <c r="AF472" s="81"/>
    </row>
    <row r="473" spans="1:32">
      <c r="A473" s="76" t="s">
        <v>1207</v>
      </c>
      <c r="B473" s="79">
        <f>B477*2*0.3</f>
        <v>21360</v>
      </c>
      <c r="C473" s="79">
        <f t="shared" ref="C473:I473" si="783">C477*2*0.3</f>
        <v>24420</v>
      </c>
      <c r="D473" s="79">
        <f t="shared" si="783"/>
        <v>27480</v>
      </c>
      <c r="E473" s="79">
        <f t="shared" si="783"/>
        <v>30510</v>
      </c>
      <c r="F473" s="79">
        <f t="shared" si="783"/>
        <v>32970</v>
      </c>
      <c r="G473" s="79">
        <f t="shared" si="783"/>
        <v>35400</v>
      </c>
      <c r="H473" s="79">
        <f t="shared" si="783"/>
        <v>37860</v>
      </c>
      <c r="I473" s="79">
        <f t="shared" si="783"/>
        <v>40290</v>
      </c>
      <c r="J473" s="80">
        <f t="shared" si="773"/>
        <v>534</v>
      </c>
      <c r="K473" s="80">
        <f t="shared" si="774"/>
        <v>572</v>
      </c>
      <c r="L473" s="80">
        <f t="shared" si="775"/>
        <v>687</v>
      </c>
      <c r="M473" s="80">
        <f t="shared" si="776"/>
        <v>793</v>
      </c>
      <c r="N473" s="80">
        <f t="shared" si="777"/>
        <v>885</v>
      </c>
      <c r="O473" s="80">
        <f t="shared" si="778"/>
        <v>976</v>
      </c>
      <c r="P473" s="81"/>
      <c r="Q473" s="81"/>
      <c r="R473" s="81"/>
      <c r="S473" s="81"/>
      <c r="T473" s="81"/>
      <c r="U473" s="81"/>
      <c r="V473" s="81"/>
      <c r="W473" s="81"/>
      <c r="X473" s="81"/>
      <c r="Y473" s="81"/>
      <c r="Z473" s="81"/>
      <c r="AA473" s="81"/>
      <c r="AB473" s="81"/>
      <c r="AC473" s="81"/>
      <c r="AD473" s="81"/>
      <c r="AE473" s="81"/>
      <c r="AF473" s="81"/>
    </row>
    <row r="474" spans="1:32">
      <c r="A474" s="76" t="s">
        <v>1208</v>
      </c>
      <c r="B474" s="79">
        <f>B477*2*0.35</f>
        <v>24920</v>
      </c>
      <c r="C474" s="79">
        <f t="shared" ref="C474:I474" si="784">C477*2*0.35</f>
        <v>28490</v>
      </c>
      <c r="D474" s="79">
        <f t="shared" si="784"/>
        <v>32059.999999999996</v>
      </c>
      <c r="E474" s="79">
        <f t="shared" si="784"/>
        <v>35595</v>
      </c>
      <c r="F474" s="79">
        <f t="shared" si="784"/>
        <v>38465</v>
      </c>
      <c r="G474" s="79">
        <f t="shared" si="784"/>
        <v>41300</v>
      </c>
      <c r="H474" s="79">
        <f t="shared" si="784"/>
        <v>44170</v>
      </c>
      <c r="I474" s="79">
        <f t="shared" si="784"/>
        <v>47005</v>
      </c>
      <c r="J474" s="80">
        <f t="shared" si="773"/>
        <v>623</v>
      </c>
      <c r="K474" s="80">
        <f t="shared" si="774"/>
        <v>667</v>
      </c>
      <c r="L474" s="80">
        <f t="shared" si="775"/>
        <v>801</v>
      </c>
      <c r="M474" s="80">
        <f t="shared" si="776"/>
        <v>925</v>
      </c>
      <c r="N474" s="80">
        <f t="shared" si="777"/>
        <v>1032</v>
      </c>
      <c r="O474" s="80">
        <f t="shared" si="778"/>
        <v>1139</v>
      </c>
      <c r="P474" s="81"/>
      <c r="Q474" s="81"/>
      <c r="R474" s="81"/>
      <c r="S474" s="81"/>
      <c r="T474" s="81"/>
      <c r="U474" s="81"/>
      <c r="V474" s="81"/>
      <c r="W474" s="81"/>
      <c r="X474" s="81"/>
      <c r="Y474" s="81"/>
      <c r="Z474" s="81"/>
      <c r="AA474" s="81"/>
      <c r="AB474" s="81"/>
      <c r="AC474" s="81"/>
      <c r="AD474" s="81"/>
      <c r="AE474" s="81"/>
      <c r="AF474" s="81"/>
    </row>
    <row r="475" spans="1:32">
      <c r="A475" s="76" t="s">
        <v>1209</v>
      </c>
      <c r="B475" s="79">
        <f>B477*2*0.4</f>
        <v>28480</v>
      </c>
      <c r="C475" s="79">
        <f t="shared" ref="C475:I475" si="785">C477*2*0.4</f>
        <v>32560</v>
      </c>
      <c r="D475" s="79">
        <f t="shared" si="785"/>
        <v>36640</v>
      </c>
      <c r="E475" s="79">
        <f t="shared" si="785"/>
        <v>40680</v>
      </c>
      <c r="F475" s="79">
        <f t="shared" si="785"/>
        <v>43960</v>
      </c>
      <c r="G475" s="79">
        <f t="shared" si="785"/>
        <v>47200</v>
      </c>
      <c r="H475" s="79">
        <f t="shared" si="785"/>
        <v>50480</v>
      </c>
      <c r="I475" s="79">
        <f t="shared" si="785"/>
        <v>53720</v>
      </c>
      <c r="J475" s="80">
        <f t="shared" si="773"/>
        <v>712</v>
      </c>
      <c r="K475" s="80">
        <f t="shared" si="774"/>
        <v>763</v>
      </c>
      <c r="L475" s="80">
        <f t="shared" si="775"/>
        <v>916</v>
      </c>
      <c r="M475" s="80">
        <f t="shared" si="776"/>
        <v>1058</v>
      </c>
      <c r="N475" s="80">
        <f t="shared" si="777"/>
        <v>1180</v>
      </c>
      <c r="O475" s="80">
        <f t="shared" si="778"/>
        <v>1302</v>
      </c>
      <c r="P475" s="81"/>
      <c r="Q475" s="81"/>
      <c r="R475" s="81"/>
      <c r="S475" s="81"/>
      <c r="T475" s="81"/>
      <c r="U475" s="81"/>
      <c r="V475" s="81"/>
      <c r="W475" s="81"/>
      <c r="X475" s="81"/>
      <c r="Y475" s="81"/>
      <c r="Z475" s="81"/>
      <c r="AA475" s="81"/>
      <c r="AB475" s="81"/>
      <c r="AC475" s="81"/>
      <c r="AD475" s="81"/>
      <c r="AE475" s="81"/>
      <c r="AF475" s="81"/>
    </row>
    <row r="476" spans="1:32">
      <c r="A476" s="76" t="s">
        <v>1210</v>
      </c>
      <c r="B476" s="79">
        <f>B477*2*0.45</f>
        <v>32040</v>
      </c>
      <c r="C476" s="79">
        <f t="shared" ref="C476:I476" si="786">C477*2*0.45</f>
        <v>36630</v>
      </c>
      <c r="D476" s="79">
        <f t="shared" si="786"/>
        <v>41220</v>
      </c>
      <c r="E476" s="79">
        <f t="shared" si="786"/>
        <v>45765</v>
      </c>
      <c r="F476" s="79">
        <f t="shared" si="786"/>
        <v>49455</v>
      </c>
      <c r="G476" s="79">
        <f t="shared" si="786"/>
        <v>53100</v>
      </c>
      <c r="H476" s="79">
        <f t="shared" si="786"/>
        <v>56790</v>
      </c>
      <c r="I476" s="79">
        <f t="shared" si="786"/>
        <v>60435</v>
      </c>
      <c r="J476" s="80">
        <f t="shared" si="773"/>
        <v>801</v>
      </c>
      <c r="K476" s="80">
        <f t="shared" si="774"/>
        <v>858</v>
      </c>
      <c r="L476" s="80">
        <f t="shared" si="775"/>
        <v>1030</v>
      </c>
      <c r="M476" s="80">
        <f t="shared" si="776"/>
        <v>1190</v>
      </c>
      <c r="N476" s="80">
        <f t="shared" si="777"/>
        <v>1327</v>
      </c>
      <c r="O476" s="80">
        <f t="shared" si="778"/>
        <v>1465</v>
      </c>
      <c r="P476" s="81"/>
      <c r="Q476" s="81"/>
      <c r="R476" s="81"/>
      <c r="S476" s="81"/>
      <c r="T476" s="81"/>
      <c r="U476" s="81"/>
      <c r="V476" s="81"/>
      <c r="W476" s="81"/>
      <c r="X476" s="81"/>
      <c r="Y476" s="81"/>
      <c r="Z476" s="81"/>
      <c r="AA476" s="81"/>
      <c r="AB476" s="81"/>
      <c r="AC476" s="81"/>
      <c r="AD476" s="81"/>
      <c r="AE476" s="81"/>
      <c r="AF476" s="81"/>
    </row>
    <row r="477" spans="1:32">
      <c r="A477" s="82" t="s">
        <v>1211</v>
      </c>
      <c r="B477" s="84">
        <f>'MTSP 50% Income Limits '!B28</f>
        <v>35600</v>
      </c>
      <c r="C477" s="84">
        <f>'MTSP 50% Income Limits '!C28</f>
        <v>40700</v>
      </c>
      <c r="D477" s="84">
        <f>'MTSP 50% Income Limits '!D28</f>
        <v>45800</v>
      </c>
      <c r="E477" s="84">
        <f>'MTSP 50% Income Limits '!E28</f>
        <v>50850</v>
      </c>
      <c r="F477" s="84">
        <f>'MTSP 50% Income Limits '!F28</f>
        <v>54950</v>
      </c>
      <c r="G477" s="84">
        <f>'MTSP 50% Income Limits '!G28</f>
        <v>59000</v>
      </c>
      <c r="H477" s="84">
        <f>'MTSP 50% Income Limits '!H28</f>
        <v>63100</v>
      </c>
      <c r="I477" s="84">
        <f>'MTSP 50% Income Limits '!I28</f>
        <v>67150</v>
      </c>
      <c r="J477" s="83">
        <f>TRUNC(B477/12*0.3)</f>
        <v>890</v>
      </c>
      <c r="K477" s="83">
        <f>TRUNC((B477+C477)/2/12*0.3)</f>
        <v>953</v>
      </c>
      <c r="L477" s="83">
        <f>TRUNC((D477)/12*0.3)</f>
        <v>1145</v>
      </c>
      <c r="M477" s="83">
        <f>TRUNC(((E477+F477)/2)/12*0.3)</f>
        <v>1322</v>
      </c>
      <c r="N477" s="83">
        <f>TRUNC(G477/12*0.3)</f>
        <v>1475</v>
      </c>
      <c r="O477" s="83">
        <f>TRUNC(((H477+I477)/2)/12*0.3)</f>
        <v>1628</v>
      </c>
      <c r="P477" s="81"/>
      <c r="Q477" s="81"/>
      <c r="R477" s="81"/>
      <c r="S477" s="81"/>
      <c r="T477" s="81"/>
      <c r="U477" s="81"/>
      <c r="V477" s="81"/>
      <c r="W477" s="81"/>
      <c r="X477" s="81"/>
      <c r="Y477" s="81"/>
      <c r="Z477" s="81"/>
      <c r="AA477" s="81"/>
      <c r="AB477" s="81"/>
      <c r="AC477" s="81"/>
      <c r="AD477" s="81"/>
      <c r="AE477" s="81"/>
      <c r="AF477" s="81"/>
    </row>
    <row r="478" spans="1:32">
      <c r="A478" s="76" t="s">
        <v>1212</v>
      </c>
      <c r="B478" s="79">
        <f>B477*2*0.55</f>
        <v>39160</v>
      </c>
      <c r="C478" s="79">
        <f t="shared" ref="C478:I478" si="787">C477*2*0.55</f>
        <v>44770</v>
      </c>
      <c r="D478" s="79">
        <f t="shared" si="787"/>
        <v>50380.000000000007</v>
      </c>
      <c r="E478" s="79">
        <f t="shared" si="787"/>
        <v>55935.000000000007</v>
      </c>
      <c r="F478" s="79">
        <f t="shared" si="787"/>
        <v>60445.000000000007</v>
      </c>
      <c r="G478" s="79">
        <f t="shared" si="787"/>
        <v>64900.000000000007</v>
      </c>
      <c r="H478" s="79">
        <f t="shared" si="787"/>
        <v>69410</v>
      </c>
      <c r="I478" s="79">
        <f t="shared" si="787"/>
        <v>73865</v>
      </c>
      <c r="J478" s="80">
        <f t="shared" ref="J478:J484" si="788">TRUNC(B478/12*0.3)</f>
        <v>979</v>
      </c>
      <c r="K478" s="80">
        <f t="shared" ref="K478:K484" si="789">TRUNC((B478+C478)/2/12*0.3)</f>
        <v>1049</v>
      </c>
      <c r="L478" s="80">
        <f t="shared" ref="L478:L484" si="790">TRUNC((D478)/12*0.3)</f>
        <v>1259</v>
      </c>
      <c r="M478" s="80">
        <f t="shared" ref="M478:M484" si="791">TRUNC(((E478+F478)/2)/12*0.3)</f>
        <v>1454</v>
      </c>
      <c r="N478" s="80">
        <f t="shared" ref="N478:N484" si="792">TRUNC(G478/12*0.3)</f>
        <v>1622</v>
      </c>
      <c r="O478" s="80">
        <f t="shared" ref="O478:O484" si="793">TRUNC(((H478+I478)/2)/12*0.3)</f>
        <v>1790</v>
      </c>
      <c r="P478" s="81"/>
      <c r="Q478" s="81"/>
      <c r="R478" s="81"/>
      <c r="S478" s="81"/>
      <c r="T478" s="81"/>
      <c r="U478" s="81"/>
      <c r="V478" s="81"/>
      <c r="W478" s="81"/>
      <c r="X478" s="81"/>
      <c r="Y478" s="81"/>
      <c r="Z478" s="81"/>
      <c r="AA478" s="81"/>
      <c r="AB478" s="81"/>
      <c r="AC478" s="81"/>
      <c r="AD478" s="81"/>
      <c r="AE478" s="81"/>
      <c r="AF478" s="81"/>
    </row>
    <row r="479" spans="1:32">
      <c r="A479" s="76" t="s">
        <v>1213</v>
      </c>
      <c r="B479" s="79">
        <f>B477*2*0.6</f>
        <v>42720</v>
      </c>
      <c r="C479" s="79">
        <f t="shared" ref="C479:I479" si="794">C477*2*0.6</f>
        <v>48840</v>
      </c>
      <c r="D479" s="79">
        <f t="shared" si="794"/>
        <v>54960</v>
      </c>
      <c r="E479" s="79">
        <f t="shared" si="794"/>
        <v>61020</v>
      </c>
      <c r="F479" s="79">
        <f t="shared" si="794"/>
        <v>65940</v>
      </c>
      <c r="G479" s="79">
        <f t="shared" si="794"/>
        <v>70800</v>
      </c>
      <c r="H479" s="79">
        <f t="shared" si="794"/>
        <v>75720</v>
      </c>
      <c r="I479" s="79">
        <f t="shared" si="794"/>
        <v>80580</v>
      </c>
      <c r="J479" s="80">
        <f t="shared" si="788"/>
        <v>1068</v>
      </c>
      <c r="K479" s="80">
        <f t="shared" si="789"/>
        <v>1144</v>
      </c>
      <c r="L479" s="80">
        <f t="shared" si="790"/>
        <v>1374</v>
      </c>
      <c r="M479" s="80">
        <f t="shared" si="791"/>
        <v>1587</v>
      </c>
      <c r="N479" s="80">
        <f t="shared" si="792"/>
        <v>1770</v>
      </c>
      <c r="O479" s="80">
        <f t="shared" si="793"/>
        <v>1953</v>
      </c>
      <c r="P479" s="81"/>
      <c r="Q479" s="81"/>
      <c r="R479" s="81"/>
      <c r="S479" s="81"/>
      <c r="T479" s="81"/>
      <c r="U479" s="81"/>
      <c r="V479" s="81"/>
      <c r="W479" s="81"/>
      <c r="X479" s="81"/>
      <c r="Y479" s="81"/>
      <c r="Z479" s="81"/>
      <c r="AA479" s="81"/>
      <c r="AB479" s="81"/>
      <c r="AC479" s="81"/>
      <c r="AD479" s="81"/>
      <c r="AE479" s="81"/>
      <c r="AF479" s="81"/>
    </row>
    <row r="480" spans="1:32">
      <c r="A480" s="76" t="s">
        <v>1214</v>
      </c>
      <c r="B480" s="79">
        <f>B477*2*0.65</f>
        <v>46280</v>
      </c>
      <c r="C480" s="79">
        <f t="shared" ref="C480:I480" si="795">C477*2*0.65</f>
        <v>52910</v>
      </c>
      <c r="D480" s="79">
        <f t="shared" si="795"/>
        <v>59540</v>
      </c>
      <c r="E480" s="79">
        <f t="shared" si="795"/>
        <v>66105</v>
      </c>
      <c r="F480" s="79">
        <f t="shared" si="795"/>
        <v>71435</v>
      </c>
      <c r="G480" s="79">
        <f t="shared" si="795"/>
        <v>76700</v>
      </c>
      <c r="H480" s="79">
        <f t="shared" si="795"/>
        <v>82030</v>
      </c>
      <c r="I480" s="79">
        <f t="shared" si="795"/>
        <v>87295</v>
      </c>
      <c r="J480" s="80">
        <f t="shared" si="788"/>
        <v>1157</v>
      </c>
      <c r="K480" s="80">
        <f t="shared" si="789"/>
        <v>1239</v>
      </c>
      <c r="L480" s="80">
        <f t="shared" si="790"/>
        <v>1488</v>
      </c>
      <c r="M480" s="80">
        <f t="shared" si="791"/>
        <v>1719</v>
      </c>
      <c r="N480" s="80">
        <f t="shared" si="792"/>
        <v>1917</v>
      </c>
      <c r="O480" s="80">
        <f t="shared" si="793"/>
        <v>2116</v>
      </c>
      <c r="P480" s="81"/>
      <c r="Q480" s="81"/>
      <c r="R480" s="81"/>
      <c r="S480" s="81"/>
      <c r="T480" s="81"/>
      <c r="U480" s="81"/>
      <c r="V480" s="81"/>
      <c r="W480" s="81"/>
      <c r="X480" s="81"/>
      <c r="Y480" s="81"/>
      <c r="Z480" s="81"/>
      <c r="AA480" s="81"/>
      <c r="AB480" s="81"/>
      <c r="AC480" s="81"/>
      <c r="AD480" s="81"/>
      <c r="AE480" s="81"/>
      <c r="AF480" s="81"/>
    </row>
    <row r="481" spans="1:32">
      <c r="A481" s="76" t="s">
        <v>1215</v>
      </c>
      <c r="B481" s="79">
        <f>B477*2*0.7</f>
        <v>49840</v>
      </c>
      <c r="C481" s="79">
        <f t="shared" ref="C481:I481" si="796">C477*2*0.7</f>
        <v>56980</v>
      </c>
      <c r="D481" s="79">
        <f t="shared" si="796"/>
        <v>64119.999999999993</v>
      </c>
      <c r="E481" s="79">
        <f t="shared" si="796"/>
        <v>71190</v>
      </c>
      <c r="F481" s="79">
        <f t="shared" si="796"/>
        <v>76930</v>
      </c>
      <c r="G481" s="79">
        <f t="shared" si="796"/>
        <v>82600</v>
      </c>
      <c r="H481" s="79">
        <f t="shared" si="796"/>
        <v>88340</v>
      </c>
      <c r="I481" s="79">
        <f t="shared" si="796"/>
        <v>94010</v>
      </c>
      <c r="J481" s="80">
        <f t="shared" si="788"/>
        <v>1246</v>
      </c>
      <c r="K481" s="80">
        <f t="shared" si="789"/>
        <v>1335</v>
      </c>
      <c r="L481" s="80">
        <f t="shared" si="790"/>
        <v>1603</v>
      </c>
      <c r="M481" s="80">
        <f t="shared" si="791"/>
        <v>1851</v>
      </c>
      <c r="N481" s="80">
        <f t="shared" si="792"/>
        <v>2065</v>
      </c>
      <c r="O481" s="80">
        <f t="shared" si="793"/>
        <v>2279</v>
      </c>
      <c r="P481" s="81"/>
      <c r="Q481" s="81"/>
      <c r="R481" s="81"/>
      <c r="S481" s="81"/>
      <c r="T481" s="81"/>
      <c r="U481" s="81"/>
      <c r="V481" s="81"/>
      <c r="W481" s="81"/>
      <c r="X481" s="81"/>
      <c r="Y481" s="81"/>
      <c r="Z481" s="81"/>
      <c r="AA481" s="81"/>
      <c r="AB481" s="81"/>
      <c r="AC481" s="81"/>
      <c r="AD481" s="81"/>
      <c r="AE481" s="81"/>
      <c r="AF481" s="81"/>
    </row>
    <row r="482" spans="1:32">
      <c r="A482" s="76" t="s">
        <v>1216</v>
      </c>
      <c r="B482" s="79">
        <f>B477*2*0.75</f>
        <v>53400</v>
      </c>
      <c r="C482" s="79">
        <f t="shared" ref="C482:I482" si="797">C477*2*0.75</f>
        <v>61050</v>
      </c>
      <c r="D482" s="79">
        <f t="shared" si="797"/>
        <v>68700</v>
      </c>
      <c r="E482" s="79">
        <f t="shared" si="797"/>
        <v>76275</v>
      </c>
      <c r="F482" s="79">
        <f t="shared" si="797"/>
        <v>82425</v>
      </c>
      <c r="G482" s="79">
        <f t="shared" si="797"/>
        <v>88500</v>
      </c>
      <c r="H482" s="79">
        <f t="shared" si="797"/>
        <v>94650</v>
      </c>
      <c r="I482" s="79">
        <f t="shared" si="797"/>
        <v>100725</v>
      </c>
      <c r="J482" s="80">
        <f t="shared" si="788"/>
        <v>1335</v>
      </c>
      <c r="K482" s="80">
        <f t="shared" si="789"/>
        <v>1430</v>
      </c>
      <c r="L482" s="80">
        <f t="shared" si="790"/>
        <v>1717</v>
      </c>
      <c r="M482" s="80">
        <f t="shared" si="791"/>
        <v>1983</v>
      </c>
      <c r="N482" s="80">
        <f t="shared" si="792"/>
        <v>2212</v>
      </c>
      <c r="O482" s="80">
        <f t="shared" si="793"/>
        <v>2442</v>
      </c>
      <c r="P482" s="81"/>
      <c r="Q482" s="81"/>
      <c r="R482" s="81"/>
      <c r="S482" s="81"/>
      <c r="T482" s="81"/>
      <c r="U482" s="81"/>
      <c r="V482" s="81"/>
      <c r="W482" s="81"/>
      <c r="X482" s="81"/>
      <c r="Y482" s="81"/>
      <c r="Z482" s="81"/>
      <c r="AA482" s="81"/>
      <c r="AB482" s="81"/>
      <c r="AC482" s="81"/>
      <c r="AD482" s="81"/>
      <c r="AE482" s="81"/>
      <c r="AF482" s="81"/>
    </row>
    <row r="483" spans="1:32">
      <c r="A483" s="76" t="s">
        <v>1217</v>
      </c>
      <c r="B483" s="79">
        <f>B477*2*0.8</f>
        <v>56960</v>
      </c>
      <c r="C483" s="79">
        <f t="shared" ref="C483:I483" si="798">C477*2*0.8</f>
        <v>65120</v>
      </c>
      <c r="D483" s="79">
        <f t="shared" si="798"/>
        <v>73280</v>
      </c>
      <c r="E483" s="79">
        <f t="shared" si="798"/>
        <v>81360</v>
      </c>
      <c r="F483" s="79">
        <f t="shared" si="798"/>
        <v>87920</v>
      </c>
      <c r="G483" s="79">
        <f t="shared" si="798"/>
        <v>94400</v>
      </c>
      <c r="H483" s="79">
        <f t="shared" si="798"/>
        <v>100960</v>
      </c>
      <c r="I483" s="79">
        <f t="shared" si="798"/>
        <v>107440</v>
      </c>
      <c r="J483" s="80">
        <f t="shared" si="788"/>
        <v>1424</v>
      </c>
      <c r="K483" s="80">
        <f t="shared" si="789"/>
        <v>1526</v>
      </c>
      <c r="L483" s="80">
        <f t="shared" si="790"/>
        <v>1832</v>
      </c>
      <c r="M483" s="80">
        <f t="shared" si="791"/>
        <v>2116</v>
      </c>
      <c r="N483" s="80">
        <f t="shared" si="792"/>
        <v>2360</v>
      </c>
      <c r="O483" s="80">
        <f t="shared" si="793"/>
        <v>2605</v>
      </c>
      <c r="P483" s="81"/>
      <c r="Q483" s="81"/>
      <c r="R483" s="81"/>
      <c r="S483" s="81"/>
      <c r="T483" s="81"/>
      <c r="U483" s="81"/>
      <c r="V483" s="81"/>
      <c r="W483" s="81"/>
      <c r="X483" s="81"/>
      <c r="Y483" s="81"/>
      <c r="Z483" s="81"/>
      <c r="AA483" s="81"/>
      <c r="AB483" s="81"/>
      <c r="AC483" s="81"/>
      <c r="AD483" s="81"/>
      <c r="AE483" s="81"/>
      <c r="AF483" s="81"/>
    </row>
    <row r="484" spans="1:32">
      <c r="A484" s="76" t="s">
        <v>1218</v>
      </c>
      <c r="B484" s="79">
        <f>B477*2*0.9</f>
        <v>64080</v>
      </c>
      <c r="C484" s="79">
        <f t="shared" ref="C484:I484" si="799">C477*2*0.9</f>
        <v>73260</v>
      </c>
      <c r="D484" s="79">
        <f t="shared" si="799"/>
        <v>82440</v>
      </c>
      <c r="E484" s="79">
        <f t="shared" si="799"/>
        <v>91530</v>
      </c>
      <c r="F484" s="79">
        <f t="shared" si="799"/>
        <v>98910</v>
      </c>
      <c r="G484" s="79">
        <f t="shared" si="799"/>
        <v>106200</v>
      </c>
      <c r="H484" s="79">
        <f t="shared" si="799"/>
        <v>113580</v>
      </c>
      <c r="I484" s="79">
        <f t="shared" si="799"/>
        <v>120870</v>
      </c>
      <c r="J484" s="80">
        <f t="shared" si="788"/>
        <v>1602</v>
      </c>
      <c r="K484" s="80">
        <f t="shared" si="789"/>
        <v>1716</v>
      </c>
      <c r="L484" s="80">
        <f t="shared" si="790"/>
        <v>2061</v>
      </c>
      <c r="M484" s="80">
        <f t="shared" si="791"/>
        <v>2380</v>
      </c>
      <c r="N484" s="80">
        <f t="shared" si="792"/>
        <v>2655</v>
      </c>
      <c r="O484" s="80">
        <f t="shared" si="793"/>
        <v>2930</v>
      </c>
      <c r="P484" s="81"/>
      <c r="Q484" s="81"/>
      <c r="R484" s="81"/>
      <c r="S484" s="81"/>
      <c r="T484" s="81"/>
      <c r="U484" s="81"/>
      <c r="V484" s="81"/>
      <c r="W484" s="81"/>
      <c r="X484" s="81"/>
      <c r="Y484" s="81"/>
      <c r="Z484" s="81"/>
      <c r="AA484" s="81"/>
      <c r="AB484" s="81"/>
      <c r="AC484" s="81"/>
      <c r="AD484" s="81"/>
      <c r="AE484" s="81"/>
      <c r="AF484" s="81"/>
    </row>
    <row r="485" spans="1:32">
      <c r="A485" s="76" t="s">
        <v>1219</v>
      </c>
      <c r="B485" s="79">
        <f>B477*2</f>
        <v>71200</v>
      </c>
      <c r="C485" s="79">
        <f t="shared" ref="C485:I485" si="800">C477*2</f>
        <v>81400</v>
      </c>
      <c r="D485" s="79">
        <f t="shared" si="800"/>
        <v>91600</v>
      </c>
      <c r="E485" s="79">
        <f t="shared" si="800"/>
        <v>101700</v>
      </c>
      <c r="F485" s="79">
        <f t="shared" si="800"/>
        <v>109900</v>
      </c>
      <c r="G485" s="79">
        <f t="shared" si="800"/>
        <v>118000</v>
      </c>
      <c r="H485" s="79">
        <f t="shared" si="800"/>
        <v>126200</v>
      </c>
      <c r="I485" s="79">
        <f t="shared" si="800"/>
        <v>134300</v>
      </c>
      <c r="J485" s="80">
        <f>J477*2</f>
        <v>1780</v>
      </c>
      <c r="K485" s="80">
        <f t="shared" ref="K485:O485" si="801">K477*2</f>
        <v>1906</v>
      </c>
      <c r="L485" s="80">
        <f t="shared" si="801"/>
        <v>2290</v>
      </c>
      <c r="M485" s="80">
        <f t="shared" si="801"/>
        <v>2644</v>
      </c>
      <c r="N485" s="80">
        <f t="shared" si="801"/>
        <v>2950</v>
      </c>
      <c r="O485" s="80">
        <f t="shared" si="801"/>
        <v>3256</v>
      </c>
      <c r="P485" s="81"/>
      <c r="Q485" s="81"/>
      <c r="R485" s="81"/>
      <c r="S485" s="81"/>
      <c r="T485" s="81"/>
      <c r="U485" s="81"/>
      <c r="V485" s="81"/>
      <c r="W485" s="81"/>
      <c r="X485" s="81"/>
      <c r="Y485" s="81"/>
      <c r="Z485" s="81"/>
      <c r="AA485" s="81"/>
      <c r="AB485" s="81"/>
      <c r="AC485" s="81"/>
      <c r="AD485" s="81"/>
      <c r="AE485" s="81"/>
      <c r="AF485" s="81"/>
    </row>
    <row r="486" spans="1:32">
      <c r="A486" s="76" t="s">
        <v>1220</v>
      </c>
      <c r="B486" s="79">
        <f>B477*2*1.1</f>
        <v>78320</v>
      </c>
      <c r="C486" s="79">
        <f t="shared" ref="C486:I486" si="802">C477*2*1.1</f>
        <v>89540</v>
      </c>
      <c r="D486" s="79">
        <f t="shared" si="802"/>
        <v>100760.00000000001</v>
      </c>
      <c r="E486" s="79">
        <f t="shared" si="802"/>
        <v>111870.00000000001</v>
      </c>
      <c r="F486" s="79">
        <f t="shared" si="802"/>
        <v>120890.00000000001</v>
      </c>
      <c r="G486" s="79">
        <f t="shared" si="802"/>
        <v>129800.00000000001</v>
      </c>
      <c r="H486" s="79">
        <f t="shared" si="802"/>
        <v>138820</v>
      </c>
      <c r="I486" s="79">
        <f t="shared" si="802"/>
        <v>147730</v>
      </c>
      <c r="J486" s="80">
        <f t="shared" ref="J486:J494" si="803">TRUNC(B486/12*0.3)</f>
        <v>1958</v>
      </c>
      <c r="K486" s="80">
        <f t="shared" ref="K486:K494" si="804">TRUNC((B486+C486)/2/12*0.3)</f>
        <v>2098</v>
      </c>
      <c r="L486" s="80">
        <f t="shared" ref="L486:L494" si="805">TRUNC((D486)/12*0.3)</f>
        <v>2519</v>
      </c>
      <c r="M486" s="80">
        <f t="shared" ref="M486:M494" si="806">TRUNC(((E486+F486)/2)/12*0.3)</f>
        <v>2909</v>
      </c>
      <c r="N486" s="80">
        <f t="shared" ref="N486:N494" si="807">TRUNC(G486/12*0.3)</f>
        <v>3245</v>
      </c>
      <c r="O486" s="80">
        <f t="shared" ref="O486:O494" si="808">TRUNC(((H486+I486)/2)/12*0.3)</f>
        <v>3581</v>
      </c>
      <c r="P486" s="81"/>
      <c r="Q486" s="81"/>
      <c r="R486" s="81"/>
      <c r="S486" s="81"/>
      <c r="T486" s="81"/>
      <c r="U486" s="81"/>
      <c r="V486" s="81"/>
      <c r="W486" s="81"/>
      <c r="X486" s="81"/>
      <c r="Y486" s="81"/>
      <c r="Z486" s="81"/>
      <c r="AA486" s="81"/>
      <c r="AB486" s="81"/>
      <c r="AC486" s="81"/>
      <c r="AD486" s="81"/>
      <c r="AE486" s="81"/>
      <c r="AF486" s="81"/>
    </row>
    <row r="487" spans="1:32">
      <c r="A487" s="76" t="s">
        <v>1221</v>
      </c>
      <c r="B487" s="79">
        <f>B477*2*1.2</f>
        <v>85440</v>
      </c>
      <c r="C487" s="79">
        <f t="shared" ref="C487:I487" si="809">C477*2*1.2</f>
        <v>97680</v>
      </c>
      <c r="D487" s="79">
        <f t="shared" si="809"/>
        <v>109920</v>
      </c>
      <c r="E487" s="79">
        <f t="shared" si="809"/>
        <v>122040</v>
      </c>
      <c r="F487" s="79">
        <f t="shared" si="809"/>
        <v>131880</v>
      </c>
      <c r="G487" s="79">
        <f t="shared" si="809"/>
        <v>141600</v>
      </c>
      <c r="H487" s="79">
        <f t="shared" si="809"/>
        <v>151440</v>
      </c>
      <c r="I487" s="79">
        <f t="shared" si="809"/>
        <v>161160</v>
      </c>
      <c r="J487" s="80">
        <f t="shared" si="803"/>
        <v>2136</v>
      </c>
      <c r="K487" s="80">
        <f t="shared" si="804"/>
        <v>2289</v>
      </c>
      <c r="L487" s="80">
        <f t="shared" si="805"/>
        <v>2748</v>
      </c>
      <c r="M487" s="80">
        <f t="shared" si="806"/>
        <v>3174</v>
      </c>
      <c r="N487" s="80">
        <f t="shared" si="807"/>
        <v>3540</v>
      </c>
      <c r="O487" s="80">
        <f t="shared" si="808"/>
        <v>3907</v>
      </c>
      <c r="P487" s="81"/>
      <c r="Q487" s="81"/>
      <c r="R487" s="81"/>
      <c r="S487" s="81"/>
      <c r="T487" s="81"/>
      <c r="U487" s="81"/>
      <c r="V487" s="81"/>
      <c r="W487" s="81"/>
      <c r="X487" s="81"/>
      <c r="Y487" s="81"/>
      <c r="Z487" s="81"/>
      <c r="AA487" s="81"/>
      <c r="AB487" s="81"/>
      <c r="AC487" s="81"/>
      <c r="AD487" s="81"/>
      <c r="AE487" s="81"/>
      <c r="AF487" s="81"/>
    </row>
    <row r="488" spans="1:32">
      <c r="A488" s="76" t="s">
        <v>1222</v>
      </c>
      <c r="B488" s="79">
        <f>B495*2*0.15</f>
        <v>11940</v>
      </c>
      <c r="C488" s="79">
        <f>C495*2*0.15</f>
        <v>13650</v>
      </c>
      <c r="D488" s="79">
        <f>D495*2*0.15</f>
        <v>15360</v>
      </c>
      <c r="E488" s="79">
        <f>E495*2*0.15</f>
        <v>17055</v>
      </c>
      <c r="F488" s="79">
        <f>F495*2*0.15</f>
        <v>18420</v>
      </c>
      <c r="G488" s="79">
        <f t="shared" ref="G488:I488" si="810">G495*2*0.15</f>
        <v>19785</v>
      </c>
      <c r="H488" s="79">
        <f t="shared" si="810"/>
        <v>21150</v>
      </c>
      <c r="I488" s="79">
        <f t="shared" si="810"/>
        <v>22515</v>
      </c>
      <c r="J488" s="80">
        <f t="shared" si="803"/>
        <v>298</v>
      </c>
      <c r="K488" s="80">
        <f t="shared" si="804"/>
        <v>319</v>
      </c>
      <c r="L488" s="80">
        <f t="shared" si="805"/>
        <v>384</v>
      </c>
      <c r="M488" s="80">
        <f t="shared" si="806"/>
        <v>443</v>
      </c>
      <c r="N488" s="80">
        <f t="shared" si="807"/>
        <v>494</v>
      </c>
      <c r="O488" s="80">
        <f t="shared" si="808"/>
        <v>545</v>
      </c>
      <c r="P488" s="81"/>
      <c r="Q488" s="81"/>
      <c r="R488" s="81"/>
      <c r="S488" s="81"/>
      <c r="T488" s="81"/>
      <c r="U488" s="81"/>
      <c r="V488" s="81"/>
      <c r="W488" s="81"/>
      <c r="X488" s="81"/>
      <c r="Y488" s="81"/>
      <c r="Z488" s="81"/>
      <c r="AA488" s="81"/>
      <c r="AB488" s="81"/>
      <c r="AC488" s="81"/>
      <c r="AD488" s="81"/>
      <c r="AE488" s="81"/>
      <c r="AF488" s="81"/>
    </row>
    <row r="489" spans="1:32">
      <c r="A489" s="76" t="s">
        <v>1223</v>
      </c>
      <c r="B489" s="79">
        <f>B495*2*0.2</f>
        <v>15920</v>
      </c>
      <c r="C489" s="79">
        <f t="shared" ref="C489:I489" si="811">C495*2*0.2</f>
        <v>18200</v>
      </c>
      <c r="D489" s="79">
        <f t="shared" si="811"/>
        <v>20480</v>
      </c>
      <c r="E489" s="79">
        <f t="shared" si="811"/>
        <v>22740</v>
      </c>
      <c r="F489" s="79">
        <f t="shared" si="811"/>
        <v>24560</v>
      </c>
      <c r="G489" s="79">
        <f t="shared" si="811"/>
        <v>26380</v>
      </c>
      <c r="H489" s="79">
        <f t="shared" si="811"/>
        <v>28200</v>
      </c>
      <c r="I489" s="79">
        <f t="shared" si="811"/>
        <v>30020</v>
      </c>
      <c r="J489" s="80">
        <f t="shared" si="803"/>
        <v>398</v>
      </c>
      <c r="K489" s="80">
        <f t="shared" si="804"/>
        <v>426</v>
      </c>
      <c r="L489" s="80">
        <f t="shared" si="805"/>
        <v>512</v>
      </c>
      <c r="M489" s="80">
        <f t="shared" si="806"/>
        <v>591</v>
      </c>
      <c r="N489" s="80">
        <f t="shared" si="807"/>
        <v>659</v>
      </c>
      <c r="O489" s="80">
        <f t="shared" si="808"/>
        <v>727</v>
      </c>
      <c r="P489" s="81"/>
      <c r="Q489" s="81"/>
      <c r="R489" s="81"/>
      <c r="S489" s="81"/>
      <c r="T489" s="81"/>
      <c r="U489" s="81"/>
      <c r="V489" s="81"/>
      <c r="W489" s="81"/>
      <c r="X489" s="81"/>
      <c r="Y489" s="81"/>
      <c r="Z489" s="81"/>
      <c r="AA489" s="81"/>
      <c r="AB489" s="81"/>
      <c r="AC489" s="81"/>
      <c r="AD489" s="81"/>
      <c r="AE489" s="81"/>
      <c r="AF489" s="81"/>
    </row>
    <row r="490" spans="1:32">
      <c r="A490" s="76" t="s">
        <v>1224</v>
      </c>
      <c r="B490" s="79">
        <f>B495*2*0.25</f>
        <v>19900</v>
      </c>
      <c r="C490" s="79">
        <f t="shared" ref="C490:I490" si="812">C495*2*0.25</f>
        <v>22750</v>
      </c>
      <c r="D490" s="79">
        <f t="shared" si="812"/>
        <v>25600</v>
      </c>
      <c r="E490" s="79">
        <f t="shared" si="812"/>
        <v>28425</v>
      </c>
      <c r="F490" s="79">
        <f t="shared" si="812"/>
        <v>30700</v>
      </c>
      <c r="G490" s="79">
        <f t="shared" si="812"/>
        <v>32975</v>
      </c>
      <c r="H490" s="79">
        <f t="shared" si="812"/>
        <v>35250</v>
      </c>
      <c r="I490" s="79">
        <f t="shared" si="812"/>
        <v>37525</v>
      </c>
      <c r="J490" s="80">
        <f t="shared" si="803"/>
        <v>497</v>
      </c>
      <c r="K490" s="80">
        <f t="shared" si="804"/>
        <v>533</v>
      </c>
      <c r="L490" s="80">
        <f t="shared" si="805"/>
        <v>640</v>
      </c>
      <c r="M490" s="80">
        <f t="shared" si="806"/>
        <v>739</v>
      </c>
      <c r="N490" s="80">
        <f t="shared" si="807"/>
        <v>824</v>
      </c>
      <c r="O490" s="80">
        <f t="shared" si="808"/>
        <v>909</v>
      </c>
      <c r="P490" s="81"/>
      <c r="Q490" s="81"/>
      <c r="R490" s="81"/>
      <c r="S490" s="81"/>
      <c r="T490" s="81"/>
      <c r="U490" s="81"/>
      <c r="V490" s="81"/>
      <c r="W490" s="81"/>
      <c r="X490" s="81"/>
      <c r="Y490" s="81"/>
      <c r="Z490" s="81"/>
      <c r="AA490" s="81"/>
      <c r="AB490" s="81"/>
      <c r="AC490" s="81"/>
      <c r="AD490" s="81"/>
      <c r="AE490" s="81"/>
      <c r="AF490" s="81"/>
    </row>
    <row r="491" spans="1:32">
      <c r="A491" s="76" t="s">
        <v>1225</v>
      </c>
      <c r="B491" s="79">
        <f>B495*2*0.3</f>
        <v>23880</v>
      </c>
      <c r="C491" s="79">
        <f t="shared" ref="C491:I491" si="813">C495*2*0.3</f>
        <v>27300</v>
      </c>
      <c r="D491" s="79">
        <f t="shared" si="813"/>
        <v>30720</v>
      </c>
      <c r="E491" s="79">
        <f t="shared" si="813"/>
        <v>34110</v>
      </c>
      <c r="F491" s="79">
        <f t="shared" si="813"/>
        <v>36840</v>
      </c>
      <c r="G491" s="79">
        <f t="shared" si="813"/>
        <v>39570</v>
      </c>
      <c r="H491" s="79">
        <f t="shared" si="813"/>
        <v>42300</v>
      </c>
      <c r="I491" s="79">
        <f t="shared" si="813"/>
        <v>45030</v>
      </c>
      <c r="J491" s="80">
        <f t="shared" si="803"/>
        <v>597</v>
      </c>
      <c r="K491" s="80">
        <f t="shared" si="804"/>
        <v>639</v>
      </c>
      <c r="L491" s="80">
        <f t="shared" si="805"/>
        <v>768</v>
      </c>
      <c r="M491" s="80">
        <f t="shared" si="806"/>
        <v>886</v>
      </c>
      <c r="N491" s="80">
        <f t="shared" si="807"/>
        <v>989</v>
      </c>
      <c r="O491" s="80">
        <f t="shared" si="808"/>
        <v>1091</v>
      </c>
      <c r="P491" s="81"/>
      <c r="Q491" s="81"/>
      <c r="R491" s="81"/>
      <c r="S491" s="81"/>
      <c r="T491" s="81"/>
      <c r="U491" s="81"/>
      <c r="V491" s="81"/>
      <c r="W491" s="81"/>
      <c r="X491" s="81"/>
      <c r="Y491" s="81"/>
      <c r="Z491" s="81"/>
      <c r="AA491" s="81"/>
      <c r="AB491" s="81"/>
      <c r="AC491" s="81"/>
      <c r="AD491" s="81"/>
      <c r="AE491" s="81"/>
      <c r="AF491" s="81"/>
    </row>
    <row r="492" spans="1:32">
      <c r="A492" s="76" t="s">
        <v>1226</v>
      </c>
      <c r="B492" s="79">
        <f>B495*2*0.35</f>
        <v>27860</v>
      </c>
      <c r="C492" s="79">
        <f t="shared" ref="C492:I492" si="814">C495*2*0.35</f>
        <v>31849.999999999996</v>
      </c>
      <c r="D492" s="79">
        <f t="shared" si="814"/>
        <v>35840</v>
      </c>
      <c r="E492" s="79">
        <f t="shared" si="814"/>
        <v>39795</v>
      </c>
      <c r="F492" s="79">
        <f t="shared" si="814"/>
        <v>42980</v>
      </c>
      <c r="G492" s="79">
        <f t="shared" si="814"/>
        <v>46165</v>
      </c>
      <c r="H492" s="79">
        <f t="shared" si="814"/>
        <v>49350</v>
      </c>
      <c r="I492" s="79">
        <f t="shared" si="814"/>
        <v>52535</v>
      </c>
      <c r="J492" s="80">
        <f t="shared" si="803"/>
        <v>696</v>
      </c>
      <c r="K492" s="80">
        <f t="shared" si="804"/>
        <v>746</v>
      </c>
      <c r="L492" s="80">
        <f t="shared" si="805"/>
        <v>896</v>
      </c>
      <c r="M492" s="80">
        <f t="shared" si="806"/>
        <v>1034</v>
      </c>
      <c r="N492" s="80">
        <f t="shared" si="807"/>
        <v>1154</v>
      </c>
      <c r="O492" s="80">
        <f t="shared" si="808"/>
        <v>1273</v>
      </c>
      <c r="P492" s="81"/>
      <c r="Q492" s="81"/>
      <c r="R492" s="81"/>
      <c r="S492" s="81"/>
      <c r="T492" s="81"/>
      <c r="U492" s="81"/>
      <c r="V492" s="81"/>
      <c r="W492" s="81"/>
      <c r="X492" s="81"/>
      <c r="Y492" s="81"/>
      <c r="Z492" s="81"/>
      <c r="AA492" s="81"/>
      <c r="AB492" s="81"/>
      <c r="AC492" s="81"/>
      <c r="AD492" s="81"/>
      <c r="AE492" s="81"/>
      <c r="AF492" s="81"/>
    </row>
    <row r="493" spans="1:32">
      <c r="A493" s="76" t="s">
        <v>1227</v>
      </c>
      <c r="B493" s="79">
        <f>B495*2*0.4</f>
        <v>31840</v>
      </c>
      <c r="C493" s="79">
        <f t="shared" ref="C493:I493" si="815">C495*2*0.4</f>
        <v>36400</v>
      </c>
      <c r="D493" s="79">
        <f t="shared" si="815"/>
        <v>40960</v>
      </c>
      <c r="E493" s="79">
        <f t="shared" si="815"/>
        <v>45480</v>
      </c>
      <c r="F493" s="79">
        <f t="shared" si="815"/>
        <v>49120</v>
      </c>
      <c r="G493" s="79">
        <f t="shared" si="815"/>
        <v>52760</v>
      </c>
      <c r="H493" s="79">
        <f t="shared" si="815"/>
        <v>56400</v>
      </c>
      <c r="I493" s="79">
        <f t="shared" si="815"/>
        <v>60040</v>
      </c>
      <c r="J493" s="80">
        <f t="shared" si="803"/>
        <v>796</v>
      </c>
      <c r="K493" s="80">
        <f t="shared" si="804"/>
        <v>853</v>
      </c>
      <c r="L493" s="80">
        <f t="shared" si="805"/>
        <v>1024</v>
      </c>
      <c r="M493" s="80">
        <f t="shared" si="806"/>
        <v>1182</v>
      </c>
      <c r="N493" s="80">
        <f t="shared" si="807"/>
        <v>1319</v>
      </c>
      <c r="O493" s="80">
        <f t="shared" si="808"/>
        <v>1455</v>
      </c>
      <c r="P493" s="81"/>
      <c r="Q493" s="81"/>
      <c r="R493" s="81"/>
      <c r="S493" s="81"/>
      <c r="T493" s="81"/>
      <c r="U493" s="81"/>
      <c r="V493" s="81"/>
      <c r="W493" s="81"/>
      <c r="X493" s="81"/>
      <c r="Y493" s="81"/>
      <c r="Z493" s="81"/>
      <c r="AA493" s="81"/>
      <c r="AB493" s="81"/>
      <c r="AC493" s="81"/>
      <c r="AD493" s="81"/>
      <c r="AE493" s="81"/>
      <c r="AF493" s="81"/>
    </row>
    <row r="494" spans="1:32">
      <c r="A494" s="76" t="s">
        <v>1228</v>
      </c>
      <c r="B494" s="79">
        <f>B495*2*0.45</f>
        <v>35820</v>
      </c>
      <c r="C494" s="79">
        <f t="shared" ref="C494:I494" si="816">C495*2*0.45</f>
        <v>40950</v>
      </c>
      <c r="D494" s="79">
        <f t="shared" si="816"/>
        <v>46080</v>
      </c>
      <c r="E494" s="79">
        <f t="shared" si="816"/>
        <v>51165</v>
      </c>
      <c r="F494" s="79">
        <f t="shared" si="816"/>
        <v>55260</v>
      </c>
      <c r="G494" s="79">
        <f t="shared" si="816"/>
        <v>59355</v>
      </c>
      <c r="H494" s="79">
        <f t="shared" si="816"/>
        <v>63450</v>
      </c>
      <c r="I494" s="79">
        <f t="shared" si="816"/>
        <v>67545</v>
      </c>
      <c r="J494" s="80">
        <f t="shared" si="803"/>
        <v>895</v>
      </c>
      <c r="K494" s="80">
        <f t="shared" si="804"/>
        <v>959</v>
      </c>
      <c r="L494" s="80">
        <f t="shared" si="805"/>
        <v>1152</v>
      </c>
      <c r="M494" s="80">
        <f t="shared" si="806"/>
        <v>1330</v>
      </c>
      <c r="N494" s="80">
        <f t="shared" si="807"/>
        <v>1483</v>
      </c>
      <c r="O494" s="80">
        <f t="shared" si="808"/>
        <v>1637</v>
      </c>
      <c r="P494" s="81"/>
      <c r="Q494" s="81"/>
      <c r="R494" s="81"/>
      <c r="S494" s="81"/>
      <c r="T494" s="81"/>
      <c r="U494" s="81"/>
      <c r="V494" s="81"/>
      <c r="W494" s="81"/>
      <c r="X494" s="81"/>
      <c r="Y494" s="81"/>
      <c r="Z494" s="81"/>
      <c r="AA494" s="81"/>
      <c r="AB494" s="81"/>
      <c r="AC494" s="81"/>
      <c r="AD494" s="81"/>
      <c r="AE494" s="81"/>
      <c r="AF494" s="81"/>
    </row>
    <row r="495" spans="1:32">
      <c r="A495" s="82" t="s">
        <v>1229</v>
      </c>
      <c r="B495" s="84">
        <f>'MTSP 50% Income Limits '!B29</f>
        <v>39800</v>
      </c>
      <c r="C495" s="84">
        <f>'MTSP 50% Income Limits '!C29</f>
        <v>45500</v>
      </c>
      <c r="D495" s="84">
        <f>'MTSP 50% Income Limits '!D29</f>
        <v>51200</v>
      </c>
      <c r="E495" s="84">
        <f>'MTSP 50% Income Limits '!E29</f>
        <v>56850</v>
      </c>
      <c r="F495" s="84">
        <f>'MTSP 50% Income Limits '!F29</f>
        <v>61400</v>
      </c>
      <c r="G495" s="84">
        <f>'MTSP 50% Income Limits '!G29</f>
        <v>65950</v>
      </c>
      <c r="H495" s="84">
        <f>'MTSP 50% Income Limits '!H29</f>
        <v>70500</v>
      </c>
      <c r="I495" s="84">
        <f>'MTSP 50% Income Limits '!I29</f>
        <v>75050</v>
      </c>
      <c r="J495" s="83">
        <f>TRUNC(B495/12*0.3)</f>
        <v>995</v>
      </c>
      <c r="K495" s="83">
        <f>TRUNC((B495+C495)/2/12*0.3)</f>
        <v>1066</v>
      </c>
      <c r="L495" s="83">
        <f>TRUNC((D495)/12*0.3)</f>
        <v>1280</v>
      </c>
      <c r="M495" s="83">
        <f>TRUNC(((E495+F495)/2)/12*0.3)</f>
        <v>1478</v>
      </c>
      <c r="N495" s="83">
        <f>TRUNC(G495/12*0.3)</f>
        <v>1648</v>
      </c>
      <c r="O495" s="83">
        <f>TRUNC(((H495+I495)/2)/12*0.3)</f>
        <v>1819</v>
      </c>
      <c r="P495" s="81"/>
      <c r="Q495" s="81"/>
      <c r="R495" s="81"/>
      <c r="S495" s="81"/>
      <c r="T495" s="81"/>
      <c r="U495" s="81"/>
      <c r="V495" s="81"/>
      <c r="W495" s="81"/>
      <c r="X495" s="81"/>
      <c r="Y495" s="81"/>
      <c r="Z495" s="81"/>
      <c r="AA495" s="81"/>
      <c r="AB495" s="81"/>
      <c r="AC495" s="81"/>
      <c r="AD495" s="81"/>
      <c r="AE495" s="81"/>
      <c r="AF495" s="81"/>
    </row>
    <row r="496" spans="1:32">
      <c r="A496" s="76" t="s">
        <v>1230</v>
      </c>
      <c r="B496" s="79">
        <f>B495*2*0.55</f>
        <v>43780</v>
      </c>
      <c r="C496" s="79">
        <f t="shared" ref="C496:I496" si="817">C495*2*0.55</f>
        <v>50050.000000000007</v>
      </c>
      <c r="D496" s="79">
        <f t="shared" si="817"/>
        <v>56320.000000000007</v>
      </c>
      <c r="E496" s="79">
        <f t="shared" si="817"/>
        <v>62535.000000000007</v>
      </c>
      <c r="F496" s="79">
        <f t="shared" si="817"/>
        <v>67540</v>
      </c>
      <c r="G496" s="79">
        <f t="shared" si="817"/>
        <v>72545</v>
      </c>
      <c r="H496" s="79">
        <f t="shared" si="817"/>
        <v>77550</v>
      </c>
      <c r="I496" s="79">
        <f t="shared" si="817"/>
        <v>82555</v>
      </c>
      <c r="J496" s="80">
        <f t="shared" ref="J496:J502" si="818">TRUNC(B496/12*0.3)</f>
        <v>1094</v>
      </c>
      <c r="K496" s="80">
        <f t="shared" ref="K496:K502" si="819">TRUNC((B496+C496)/2/12*0.3)</f>
        <v>1172</v>
      </c>
      <c r="L496" s="80">
        <f t="shared" ref="L496:L502" si="820">TRUNC((D496)/12*0.3)</f>
        <v>1408</v>
      </c>
      <c r="M496" s="80">
        <f t="shared" ref="M496:M502" si="821">TRUNC(((E496+F496)/2)/12*0.3)</f>
        <v>1625</v>
      </c>
      <c r="N496" s="80">
        <f t="shared" ref="N496:N502" si="822">TRUNC(G496/12*0.3)</f>
        <v>1813</v>
      </c>
      <c r="O496" s="80">
        <f t="shared" ref="O496:O502" si="823">TRUNC(((H496+I496)/2)/12*0.3)</f>
        <v>2001</v>
      </c>
      <c r="P496" s="81"/>
      <c r="Q496" s="81"/>
      <c r="R496" s="81"/>
      <c r="S496" s="81"/>
      <c r="T496" s="81"/>
      <c r="U496" s="81"/>
      <c r="V496" s="81"/>
      <c r="W496" s="81"/>
      <c r="X496" s="81"/>
      <c r="Y496" s="81"/>
      <c r="Z496" s="81"/>
      <c r="AA496" s="81"/>
      <c r="AB496" s="81"/>
      <c r="AC496" s="81"/>
      <c r="AD496" s="81"/>
      <c r="AE496" s="81"/>
      <c r="AF496" s="81"/>
    </row>
    <row r="497" spans="1:32">
      <c r="A497" s="76" t="s">
        <v>1231</v>
      </c>
      <c r="B497" s="79">
        <f>B495*2*0.6</f>
        <v>47760</v>
      </c>
      <c r="C497" s="79">
        <f t="shared" ref="C497:I497" si="824">C495*2*0.6</f>
        <v>54600</v>
      </c>
      <c r="D497" s="79">
        <f t="shared" si="824"/>
        <v>61440</v>
      </c>
      <c r="E497" s="79">
        <f t="shared" si="824"/>
        <v>68220</v>
      </c>
      <c r="F497" s="79">
        <f t="shared" si="824"/>
        <v>73680</v>
      </c>
      <c r="G497" s="79">
        <f t="shared" si="824"/>
        <v>79140</v>
      </c>
      <c r="H497" s="79">
        <f t="shared" si="824"/>
        <v>84600</v>
      </c>
      <c r="I497" s="79">
        <f t="shared" si="824"/>
        <v>90060</v>
      </c>
      <c r="J497" s="80">
        <f t="shared" si="818"/>
        <v>1194</v>
      </c>
      <c r="K497" s="80">
        <f t="shared" si="819"/>
        <v>1279</v>
      </c>
      <c r="L497" s="80">
        <f t="shared" si="820"/>
        <v>1536</v>
      </c>
      <c r="M497" s="80">
        <f t="shared" si="821"/>
        <v>1773</v>
      </c>
      <c r="N497" s="80">
        <f t="shared" si="822"/>
        <v>1978</v>
      </c>
      <c r="O497" s="80">
        <f t="shared" si="823"/>
        <v>2183</v>
      </c>
      <c r="P497" s="81"/>
      <c r="Q497" s="81"/>
      <c r="R497" s="81"/>
      <c r="S497" s="81"/>
      <c r="T497" s="81"/>
      <c r="U497" s="81"/>
      <c r="V497" s="81"/>
      <c r="W497" s="81"/>
      <c r="X497" s="81"/>
      <c r="Y497" s="81"/>
      <c r="Z497" s="81"/>
      <c r="AA497" s="81"/>
      <c r="AB497" s="81"/>
      <c r="AC497" s="81"/>
      <c r="AD497" s="81"/>
      <c r="AE497" s="81"/>
      <c r="AF497" s="81"/>
    </row>
    <row r="498" spans="1:32">
      <c r="A498" s="76" t="s">
        <v>1232</v>
      </c>
      <c r="B498" s="79">
        <f>B495*2*0.65</f>
        <v>51740</v>
      </c>
      <c r="C498" s="79">
        <f t="shared" ref="C498:I498" si="825">C495*2*0.65</f>
        <v>59150</v>
      </c>
      <c r="D498" s="79">
        <f t="shared" si="825"/>
        <v>66560</v>
      </c>
      <c r="E498" s="79">
        <f t="shared" si="825"/>
        <v>73905</v>
      </c>
      <c r="F498" s="79">
        <f t="shared" si="825"/>
        <v>79820</v>
      </c>
      <c r="G498" s="79">
        <f t="shared" si="825"/>
        <v>85735</v>
      </c>
      <c r="H498" s="79">
        <f t="shared" si="825"/>
        <v>91650</v>
      </c>
      <c r="I498" s="79">
        <f t="shared" si="825"/>
        <v>97565</v>
      </c>
      <c r="J498" s="80">
        <f t="shared" si="818"/>
        <v>1293</v>
      </c>
      <c r="K498" s="80">
        <f t="shared" si="819"/>
        <v>1386</v>
      </c>
      <c r="L498" s="80">
        <f t="shared" si="820"/>
        <v>1664</v>
      </c>
      <c r="M498" s="80">
        <f t="shared" si="821"/>
        <v>1921</v>
      </c>
      <c r="N498" s="80">
        <f t="shared" si="822"/>
        <v>2143</v>
      </c>
      <c r="O498" s="80">
        <f t="shared" si="823"/>
        <v>2365</v>
      </c>
      <c r="P498" s="81"/>
      <c r="Q498" s="81"/>
      <c r="R498" s="81"/>
      <c r="S498" s="81"/>
      <c r="T498" s="81"/>
      <c r="U498" s="81"/>
      <c r="V498" s="81"/>
      <c r="W498" s="81"/>
      <c r="X498" s="81"/>
      <c r="Y498" s="81"/>
      <c r="Z498" s="81"/>
      <c r="AA498" s="81"/>
      <c r="AB498" s="81"/>
      <c r="AC498" s="81"/>
      <c r="AD498" s="81"/>
      <c r="AE498" s="81"/>
      <c r="AF498" s="81"/>
    </row>
    <row r="499" spans="1:32">
      <c r="A499" s="76" t="s">
        <v>1233</v>
      </c>
      <c r="B499" s="79">
        <f>B495*2*0.7</f>
        <v>55720</v>
      </c>
      <c r="C499" s="79">
        <f t="shared" ref="C499:I499" si="826">C495*2*0.7</f>
        <v>63699.999999999993</v>
      </c>
      <c r="D499" s="79">
        <f t="shared" si="826"/>
        <v>71680</v>
      </c>
      <c r="E499" s="79">
        <f t="shared" si="826"/>
        <v>79590</v>
      </c>
      <c r="F499" s="79">
        <f t="shared" si="826"/>
        <v>85960</v>
      </c>
      <c r="G499" s="79">
        <f t="shared" si="826"/>
        <v>92330</v>
      </c>
      <c r="H499" s="79">
        <f t="shared" si="826"/>
        <v>98700</v>
      </c>
      <c r="I499" s="79">
        <f t="shared" si="826"/>
        <v>105070</v>
      </c>
      <c r="J499" s="80">
        <f t="shared" si="818"/>
        <v>1393</v>
      </c>
      <c r="K499" s="80">
        <f t="shared" si="819"/>
        <v>1492</v>
      </c>
      <c r="L499" s="80">
        <f t="shared" si="820"/>
        <v>1792</v>
      </c>
      <c r="M499" s="80">
        <f t="shared" si="821"/>
        <v>2069</v>
      </c>
      <c r="N499" s="80">
        <f t="shared" si="822"/>
        <v>2308</v>
      </c>
      <c r="O499" s="80">
        <f t="shared" si="823"/>
        <v>2547</v>
      </c>
      <c r="P499" s="81"/>
      <c r="Q499" s="81"/>
      <c r="R499" s="81"/>
      <c r="S499" s="81"/>
      <c r="T499" s="81"/>
      <c r="U499" s="81"/>
      <c r="V499" s="81"/>
      <c r="W499" s="81"/>
      <c r="X499" s="81"/>
      <c r="Y499" s="81"/>
      <c r="Z499" s="81"/>
      <c r="AA499" s="81"/>
      <c r="AB499" s="81"/>
      <c r="AC499" s="81"/>
      <c r="AD499" s="81"/>
      <c r="AE499" s="81"/>
      <c r="AF499" s="81"/>
    </row>
    <row r="500" spans="1:32">
      <c r="A500" s="76" t="s">
        <v>1234</v>
      </c>
      <c r="B500" s="79">
        <f>B495*2*0.75</f>
        <v>59700</v>
      </c>
      <c r="C500" s="79">
        <f t="shared" ref="C500:I500" si="827">C495*2*0.75</f>
        <v>68250</v>
      </c>
      <c r="D500" s="79">
        <f t="shared" si="827"/>
        <v>76800</v>
      </c>
      <c r="E500" s="79">
        <f t="shared" si="827"/>
        <v>85275</v>
      </c>
      <c r="F500" s="79">
        <f t="shared" si="827"/>
        <v>92100</v>
      </c>
      <c r="G500" s="79">
        <f t="shared" si="827"/>
        <v>98925</v>
      </c>
      <c r="H500" s="79">
        <f t="shared" si="827"/>
        <v>105750</v>
      </c>
      <c r="I500" s="79">
        <f t="shared" si="827"/>
        <v>112575</v>
      </c>
      <c r="J500" s="80">
        <f t="shared" si="818"/>
        <v>1492</v>
      </c>
      <c r="K500" s="80">
        <f t="shared" si="819"/>
        <v>1599</v>
      </c>
      <c r="L500" s="80">
        <f t="shared" si="820"/>
        <v>1920</v>
      </c>
      <c r="M500" s="80">
        <f t="shared" si="821"/>
        <v>2217</v>
      </c>
      <c r="N500" s="80">
        <f t="shared" si="822"/>
        <v>2473</v>
      </c>
      <c r="O500" s="80">
        <f t="shared" si="823"/>
        <v>2729</v>
      </c>
      <c r="P500" s="81"/>
      <c r="Q500" s="81"/>
      <c r="R500" s="81"/>
      <c r="S500" s="81"/>
      <c r="T500" s="81"/>
      <c r="U500" s="81"/>
      <c r="V500" s="81"/>
      <c r="W500" s="81"/>
      <c r="X500" s="81"/>
      <c r="Y500" s="81"/>
      <c r="Z500" s="81"/>
      <c r="AA500" s="81"/>
      <c r="AB500" s="81"/>
      <c r="AC500" s="81"/>
      <c r="AD500" s="81"/>
      <c r="AE500" s="81"/>
      <c r="AF500" s="81"/>
    </row>
    <row r="501" spans="1:32">
      <c r="A501" s="76" t="s">
        <v>1235</v>
      </c>
      <c r="B501" s="79">
        <f>B495*2*0.8</f>
        <v>63680</v>
      </c>
      <c r="C501" s="79">
        <f t="shared" ref="C501:I501" si="828">C495*2*0.8</f>
        <v>72800</v>
      </c>
      <c r="D501" s="79">
        <f t="shared" si="828"/>
        <v>81920</v>
      </c>
      <c r="E501" s="79">
        <f t="shared" si="828"/>
        <v>90960</v>
      </c>
      <c r="F501" s="79">
        <f t="shared" si="828"/>
        <v>98240</v>
      </c>
      <c r="G501" s="79">
        <f t="shared" si="828"/>
        <v>105520</v>
      </c>
      <c r="H501" s="79">
        <f t="shared" si="828"/>
        <v>112800</v>
      </c>
      <c r="I501" s="79">
        <f t="shared" si="828"/>
        <v>120080</v>
      </c>
      <c r="J501" s="80">
        <f t="shared" si="818"/>
        <v>1592</v>
      </c>
      <c r="K501" s="80">
        <f t="shared" si="819"/>
        <v>1706</v>
      </c>
      <c r="L501" s="80">
        <f t="shared" si="820"/>
        <v>2048</v>
      </c>
      <c r="M501" s="80">
        <f t="shared" si="821"/>
        <v>2365</v>
      </c>
      <c r="N501" s="80">
        <f t="shared" si="822"/>
        <v>2638</v>
      </c>
      <c r="O501" s="80">
        <f t="shared" si="823"/>
        <v>2911</v>
      </c>
      <c r="P501" s="81"/>
      <c r="Q501" s="81"/>
      <c r="R501" s="81"/>
      <c r="S501" s="81"/>
      <c r="T501" s="81"/>
      <c r="U501" s="81"/>
      <c r="V501" s="81"/>
      <c r="W501" s="81"/>
      <c r="X501" s="81"/>
      <c r="Y501" s="81"/>
      <c r="Z501" s="81"/>
      <c r="AA501" s="81"/>
      <c r="AB501" s="81"/>
      <c r="AC501" s="81"/>
      <c r="AD501" s="81"/>
      <c r="AE501" s="81"/>
      <c r="AF501" s="81"/>
    </row>
    <row r="502" spans="1:32">
      <c r="A502" s="76" t="s">
        <v>1236</v>
      </c>
      <c r="B502" s="79">
        <f>B495*2*0.9</f>
        <v>71640</v>
      </c>
      <c r="C502" s="79">
        <f t="shared" ref="C502:I502" si="829">C495*2*0.9</f>
        <v>81900</v>
      </c>
      <c r="D502" s="79">
        <f t="shared" si="829"/>
        <v>92160</v>
      </c>
      <c r="E502" s="79">
        <f t="shared" si="829"/>
        <v>102330</v>
      </c>
      <c r="F502" s="79">
        <f t="shared" si="829"/>
        <v>110520</v>
      </c>
      <c r="G502" s="79">
        <f t="shared" si="829"/>
        <v>118710</v>
      </c>
      <c r="H502" s="79">
        <f t="shared" si="829"/>
        <v>126900</v>
      </c>
      <c r="I502" s="79">
        <f t="shared" si="829"/>
        <v>135090</v>
      </c>
      <c r="J502" s="80">
        <f t="shared" si="818"/>
        <v>1791</v>
      </c>
      <c r="K502" s="80">
        <f t="shared" si="819"/>
        <v>1919</v>
      </c>
      <c r="L502" s="80">
        <f t="shared" si="820"/>
        <v>2304</v>
      </c>
      <c r="M502" s="80">
        <f t="shared" si="821"/>
        <v>2660</v>
      </c>
      <c r="N502" s="80">
        <f t="shared" si="822"/>
        <v>2967</v>
      </c>
      <c r="O502" s="80">
        <f t="shared" si="823"/>
        <v>3274</v>
      </c>
      <c r="P502" s="81"/>
      <c r="Q502" s="81"/>
      <c r="R502" s="81"/>
      <c r="S502" s="81"/>
      <c r="T502" s="81"/>
      <c r="U502" s="81"/>
      <c r="V502" s="81"/>
      <c r="W502" s="81"/>
      <c r="X502" s="81"/>
      <c r="Y502" s="81"/>
      <c r="Z502" s="81"/>
      <c r="AA502" s="81"/>
      <c r="AB502" s="81"/>
      <c r="AC502" s="81"/>
      <c r="AD502" s="81"/>
      <c r="AE502" s="81"/>
      <c r="AF502" s="81"/>
    </row>
    <row r="503" spans="1:32">
      <c r="A503" s="76" t="s">
        <v>1237</v>
      </c>
      <c r="B503" s="79">
        <f>B495*2</f>
        <v>79600</v>
      </c>
      <c r="C503" s="79">
        <f t="shared" ref="C503:I503" si="830">C495*2</f>
        <v>91000</v>
      </c>
      <c r="D503" s="79">
        <f t="shared" si="830"/>
        <v>102400</v>
      </c>
      <c r="E503" s="79">
        <f t="shared" si="830"/>
        <v>113700</v>
      </c>
      <c r="F503" s="79">
        <f t="shared" si="830"/>
        <v>122800</v>
      </c>
      <c r="G503" s="79">
        <f t="shared" si="830"/>
        <v>131900</v>
      </c>
      <c r="H503" s="79">
        <f t="shared" si="830"/>
        <v>141000</v>
      </c>
      <c r="I503" s="79">
        <f t="shared" si="830"/>
        <v>150100</v>
      </c>
      <c r="J503" s="80">
        <f>J495*2</f>
        <v>1990</v>
      </c>
      <c r="K503" s="80">
        <f t="shared" ref="K503:O503" si="831">K495*2</f>
        <v>2132</v>
      </c>
      <c r="L503" s="80">
        <f t="shared" si="831"/>
        <v>2560</v>
      </c>
      <c r="M503" s="80">
        <f t="shared" si="831"/>
        <v>2956</v>
      </c>
      <c r="N503" s="80">
        <f t="shared" si="831"/>
        <v>3296</v>
      </c>
      <c r="O503" s="80">
        <f t="shared" si="831"/>
        <v>3638</v>
      </c>
      <c r="P503" s="81"/>
      <c r="Q503" s="81"/>
      <c r="R503" s="81"/>
      <c r="S503" s="81"/>
      <c r="T503" s="81"/>
      <c r="U503" s="81"/>
      <c r="V503" s="81"/>
      <c r="W503" s="81"/>
      <c r="X503" s="81"/>
      <c r="Y503" s="81"/>
      <c r="Z503" s="81"/>
      <c r="AA503" s="81"/>
      <c r="AB503" s="81"/>
      <c r="AC503" s="81"/>
      <c r="AD503" s="81"/>
      <c r="AE503" s="81"/>
      <c r="AF503" s="81"/>
    </row>
    <row r="504" spans="1:32">
      <c r="A504" s="76" t="s">
        <v>1238</v>
      </c>
      <c r="B504" s="79">
        <f>B495*2*1.1</f>
        <v>87560</v>
      </c>
      <c r="C504" s="79">
        <f t="shared" ref="C504:I504" si="832">C495*2*1.1</f>
        <v>100100.00000000001</v>
      </c>
      <c r="D504" s="79">
        <f t="shared" si="832"/>
        <v>112640.00000000001</v>
      </c>
      <c r="E504" s="79">
        <f t="shared" si="832"/>
        <v>125070.00000000001</v>
      </c>
      <c r="F504" s="79">
        <f t="shared" si="832"/>
        <v>135080</v>
      </c>
      <c r="G504" s="79">
        <f t="shared" si="832"/>
        <v>145090</v>
      </c>
      <c r="H504" s="79">
        <f t="shared" si="832"/>
        <v>155100</v>
      </c>
      <c r="I504" s="79">
        <f t="shared" si="832"/>
        <v>165110</v>
      </c>
      <c r="J504" s="80">
        <f t="shared" ref="J504:J512" si="833">TRUNC(B504/12*0.3)</f>
        <v>2189</v>
      </c>
      <c r="K504" s="80">
        <f t="shared" ref="K504:K512" si="834">TRUNC((B504+C504)/2/12*0.3)</f>
        <v>2345</v>
      </c>
      <c r="L504" s="80">
        <f t="shared" ref="L504:L512" si="835">TRUNC((D504)/12*0.3)</f>
        <v>2816</v>
      </c>
      <c r="M504" s="80">
        <f t="shared" ref="M504:M512" si="836">TRUNC(((E504+F504)/2)/12*0.3)</f>
        <v>3251</v>
      </c>
      <c r="N504" s="80">
        <f t="shared" ref="N504:N512" si="837">TRUNC(G504/12*0.3)</f>
        <v>3627</v>
      </c>
      <c r="O504" s="80">
        <f t="shared" ref="O504:O512" si="838">TRUNC(((H504+I504)/2)/12*0.3)</f>
        <v>4002</v>
      </c>
      <c r="P504" s="81"/>
      <c r="Q504" s="81"/>
      <c r="R504" s="81"/>
      <c r="S504" s="81"/>
      <c r="T504" s="81"/>
      <c r="U504" s="81"/>
      <c r="V504" s="81"/>
      <c r="W504" s="81"/>
      <c r="X504" s="81"/>
      <c r="Y504" s="81"/>
      <c r="Z504" s="81"/>
      <c r="AA504" s="81"/>
      <c r="AB504" s="81"/>
      <c r="AC504" s="81"/>
      <c r="AD504" s="81"/>
      <c r="AE504" s="81"/>
      <c r="AF504" s="81"/>
    </row>
    <row r="505" spans="1:32">
      <c r="A505" s="76" t="s">
        <v>1239</v>
      </c>
      <c r="B505" s="79">
        <f>B495*2*1.2</f>
        <v>95520</v>
      </c>
      <c r="C505" s="79">
        <f t="shared" ref="C505:I505" si="839">C495*2*1.2</f>
        <v>109200</v>
      </c>
      <c r="D505" s="79">
        <f t="shared" si="839"/>
        <v>122880</v>
      </c>
      <c r="E505" s="79">
        <f t="shared" si="839"/>
        <v>136440</v>
      </c>
      <c r="F505" s="79">
        <f t="shared" si="839"/>
        <v>147360</v>
      </c>
      <c r="G505" s="79">
        <f t="shared" si="839"/>
        <v>158280</v>
      </c>
      <c r="H505" s="79">
        <f t="shared" si="839"/>
        <v>169200</v>
      </c>
      <c r="I505" s="79">
        <f t="shared" si="839"/>
        <v>180120</v>
      </c>
      <c r="J505" s="80">
        <f t="shared" si="833"/>
        <v>2388</v>
      </c>
      <c r="K505" s="80">
        <f t="shared" si="834"/>
        <v>2559</v>
      </c>
      <c r="L505" s="80">
        <f t="shared" si="835"/>
        <v>3072</v>
      </c>
      <c r="M505" s="80">
        <f t="shared" si="836"/>
        <v>3547</v>
      </c>
      <c r="N505" s="80">
        <f t="shared" si="837"/>
        <v>3957</v>
      </c>
      <c r="O505" s="80">
        <f t="shared" si="838"/>
        <v>4366</v>
      </c>
      <c r="P505" s="81"/>
      <c r="Q505" s="81"/>
      <c r="R505" s="81"/>
      <c r="S505" s="81"/>
      <c r="T505" s="81"/>
      <c r="U505" s="81"/>
      <c r="V505" s="81"/>
      <c r="W505" s="81"/>
      <c r="X505" s="81"/>
      <c r="Y505" s="81"/>
      <c r="Z505" s="81"/>
      <c r="AA505" s="81"/>
      <c r="AB505" s="81"/>
      <c r="AC505" s="81"/>
      <c r="AD505" s="81"/>
      <c r="AE505" s="81"/>
      <c r="AF505" s="81"/>
    </row>
    <row r="506" spans="1:32">
      <c r="A506" s="76" t="s">
        <v>1240</v>
      </c>
      <c r="B506" s="79">
        <f>B513*2*0.15</f>
        <v>9435</v>
      </c>
      <c r="C506" s="79">
        <f>C513*2*0.15</f>
        <v>10785</v>
      </c>
      <c r="D506" s="79">
        <f>D513*2*0.15</f>
        <v>12135</v>
      </c>
      <c r="E506" s="79">
        <f>E513*2*0.15</f>
        <v>13470</v>
      </c>
      <c r="F506" s="79">
        <f>F513*2*0.15</f>
        <v>14550</v>
      </c>
      <c r="G506" s="79">
        <f t="shared" ref="G506:I506" si="840">G513*2*0.15</f>
        <v>15630</v>
      </c>
      <c r="H506" s="79">
        <f t="shared" si="840"/>
        <v>16710</v>
      </c>
      <c r="I506" s="79">
        <f t="shared" si="840"/>
        <v>17790</v>
      </c>
      <c r="J506" s="80">
        <f t="shared" si="833"/>
        <v>235</v>
      </c>
      <c r="K506" s="80">
        <f t="shared" si="834"/>
        <v>252</v>
      </c>
      <c r="L506" s="80">
        <f t="shared" si="835"/>
        <v>303</v>
      </c>
      <c r="M506" s="80">
        <f t="shared" si="836"/>
        <v>350</v>
      </c>
      <c r="N506" s="80">
        <f t="shared" si="837"/>
        <v>390</v>
      </c>
      <c r="O506" s="80">
        <f t="shared" si="838"/>
        <v>431</v>
      </c>
      <c r="P506" s="81"/>
      <c r="Q506" s="81"/>
      <c r="R506" s="81"/>
      <c r="S506" s="81"/>
      <c r="T506" s="81"/>
      <c r="U506" s="81"/>
      <c r="V506" s="81"/>
      <c r="W506" s="81"/>
      <c r="X506" s="81"/>
      <c r="Y506" s="81"/>
      <c r="Z506" s="81"/>
      <c r="AA506" s="81"/>
      <c r="AB506" s="81"/>
      <c r="AC506" s="81"/>
      <c r="AD506" s="81"/>
      <c r="AE506" s="81"/>
      <c r="AF506" s="81"/>
    </row>
    <row r="507" spans="1:32">
      <c r="A507" s="76" t="s">
        <v>1241</v>
      </c>
      <c r="B507" s="79">
        <f>B513*2*0.2</f>
        <v>12580</v>
      </c>
      <c r="C507" s="79">
        <f t="shared" ref="C507:I507" si="841">C513*2*0.2</f>
        <v>14380</v>
      </c>
      <c r="D507" s="79">
        <f t="shared" si="841"/>
        <v>16180</v>
      </c>
      <c r="E507" s="79">
        <f t="shared" si="841"/>
        <v>17960</v>
      </c>
      <c r="F507" s="79">
        <f t="shared" si="841"/>
        <v>19400</v>
      </c>
      <c r="G507" s="79">
        <f t="shared" si="841"/>
        <v>20840</v>
      </c>
      <c r="H507" s="79">
        <f t="shared" si="841"/>
        <v>22280</v>
      </c>
      <c r="I507" s="79">
        <f t="shared" si="841"/>
        <v>23720</v>
      </c>
      <c r="J507" s="80">
        <f t="shared" si="833"/>
        <v>314</v>
      </c>
      <c r="K507" s="80">
        <f t="shared" si="834"/>
        <v>337</v>
      </c>
      <c r="L507" s="80">
        <f t="shared" si="835"/>
        <v>404</v>
      </c>
      <c r="M507" s="80">
        <f t="shared" si="836"/>
        <v>467</v>
      </c>
      <c r="N507" s="80">
        <f t="shared" si="837"/>
        <v>521</v>
      </c>
      <c r="O507" s="80">
        <f t="shared" si="838"/>
        <v>575</v>
      </c>
      <c r="P507" s="81"/>
      <c r="Q507" s="81"/>
      <c r="R507" s="81"/>
      <c r="S507" s="81"/>
      <c r="T507" s="81"/>
      <c r="U507" s="81"/>
      <c r="V507" s="81"/>
      <c r="W507" s="81"/>
      <c r="X507" s="81"/>
      <c r="Y507" s="81"/>
      <c r="Z507" s="81"/>
      <c r="AA507" s="81"/>
      <c r="AB507" s="81"/>
      <c r="AC507" s="81"/>
      <c r="AD507" s="81"/>
      <c r="AE507" s="81"/>
      <c r="AF507" s="81"/>
    </row>
    <row r="508" spans="1:32">
      <c r="A508" s="76" t="s">
        <v>1242</v>
      </c>
      <c r="B508" s="79">
        <f>B513*2*0.25</f>
        <v>15725</v>
      </c>
      <c r="C508" s="79">
        <f t="shared" ref="C508:I508" si="842">C513*2*0.25</f>
        <v>17975</v>
      </c>
      <c r="D508" s="79">
        <f t="shared" si="842"/>
        <v>20225</v>
      </c>
      <c r="E508" s="79">
        <f t="shared" si="842"/>
        <v>22450</v>
      </c>
      <c r="F508" s="79">
        <f t="shared" si="842"/>
        <v>24250</v>
      </c>
      <c r="G508" s="79">
        <f t="shared" si="842"/>
        <v>26050</v>
      </c>
      <c r="H508" s="79">
        <f t="shared" si="842"/>
        <v>27850</v>
      </c>
      <c r="I508" s="79">
        <f t="shared" si="842"/>
        <v>29650</v>
      </c>
      <c r="J508" s="80">
        <f t="shared" si="833"/>
        <v>393</v>
      </c>
      <c r="K508" s="80">
        <f t="shared" si="834"/>
        <v>421</v>
      </c>
      <c r="L508" s="80">
        <f t="shared" si="835"/>
        <v>505</v>
      </c>
      <c r="M508" s="80">
        <f t="shared" si="836"/>
        <v>583</v>
      </c>
      <c r="N508" s="80">
        <f t="shared" si="837"/>
        <v>651</v>
      </c>
      <c r="O508" s="80">
        <f t="shared" si="838"/>
        <v>718</v>
      </c>
      <c r="P508" s="81"/>
      <c r="Q508" s="81"/>
      <c r="R508" s="81"/>
      <c r="S508" s="81"/>
      <c r="T508" s="81"/>
      <c r="U508" s="81"/>
      <c r="V508" s="81"/>
      <c r="W508" s="81"/>
      <c r="X508" s="81"/>
      <c r="Y508" s="81"/>
      <c r="Z508" s="81"/>
      <c r="AA508" s="81"/>
      <c r="AB508" s="81"/>
      <c r="AC508" s="81"/>
      <c r="AD508" s="81"/>
      <c r="AE508" s="81"/>
      <c r="AF508" s="81"/>
    </row>
    <row r="509" spans="1:32">
      <c r="A509" s="76" t="s">
        <v>1243</v>
      </c>
      <c r="B509" s="79">
        <f>B513*2*0.3</f>
        <v>18870</v>
      </c>
      <c r="C509" s="79">
        <f t="shared" ref="C509:I509" si="843">C513*2*0.3</f>
        <v>21570</v>
      </c>
      <c r="D509" s="79">
        <f t="shared" si="843"/>
        <v>24270</v>
      </c>
      <c r="E509" s="79">
        <f t="shared" si="843"/>
        <v>26940</v>
      </c>
      <c r="F509" s="79">
        <f t="shared" si="843"/>
        <v>29100</v>
      </c>
      <c r="G509" s="79">
        <f t="shared" si="843"/>
        <v>31260</v>
      </c>
      <c r="H509" s="79">
        <f t="shared" si="843"/>
        <v>33420</v>
      </c>
      <c r="I509" s="79">
        <f t="shared" si="843"/>
        <v>35580</v>
      </c>
      <c r="J509" s="80">
        <f t="shared" si="833"/>
        <v>471</v>
      </c>
      <c r="K509" s="80">
        <f t="shared" si="834"/>
        <v>505</v>
      </c>
      <c r="L509" s="80">
        <f t="shared" si="835"/>
        <v>606</v>
      </c>
      <c r="M509" s="80">
        <f t="shared" si="836"/>
        <v>700</v>
      </c>
      <c r="N509" s="80">
        <f t="shared" si="837"/>
        <v>781</v>
      </c>
      <c r="O509" s="80">
        <f t="shared" si="838"/>
        <v>862</v>
      </c>
      <c r="P509" s="81"/>
      <c r="Q509" s="81"/>
      <c r="R509" s="81"/>
      <c r="S509" s="81"/>
      <c r="T509" s="81"/>
      <c r="U509" s="81"/>
      <c r="V509" s="81"/>
      <c r="W509" s="81"/>
      <c r="X509" s="81"/>
      <c r="Y509" s="81"/>
      <c r="Z509" s="81"/>
      <c r="AA509" s="81"/>
      <c r="AB509" s="81"/>
      <c r="AC509" s="81"/>
      <c r="AD509" s="81"/>
      <c r="AE509" s="81"/>
      <c r="AF509" s="81"/>
    </row>
    <row r="510" spans="1:32">
      <c r="A510" s="76" t="s">
        <v>1244</v>
      </c>
      <c r="B510" s="79">
        <f>B513*2*0.35</f>
        <v>22015</v>
      </c>
      <c r="C510" s="79">
        <f t="shared" ref="C510:I510" si="844">C513*2*0.35</f>
        <v>25165</v>
      </c>
      <c r="D510" s="79">
        <f t="shared" si="844"/>
        <v>28315</v>
      </c>
      <c r="E510" s="79">
        <f t="shared" si="844"/>
        <v>31429.999999999996</v>
      </c>
      <c r="F510" s="79">
        <f t="shared" si="844"/>
        <v>33950</v>
      </c>
      <c r="G510" s="79">
        <f t="shared" si="844"/>
        <v>36470</v>
      </c>
      <c r="H510" s="79">
        <f t="shared" si="844"/>
        <v>38990</v>
      </c>
      <c r="I510" s="79">
        <f t="shared" si="844"/>
        <v>41510</v>
      </c>
      <c r="J510" s="80">
        <f t="shared" si="833"/>
        <v>550</v>
      </c>
      <c r="K510" s="80">
        <f t="shared" si="834"/>
        <v>589</v>
      </c>
      <c r="L510" s="80">
        <f t="shared" si="835"/>
        <v>707</v>
      </c>
      <c r="M510" s="80">
        <f t="shared" si="836"/>
        <v>817</v>
      </c>
      <c r="N510" s="80">
        <f t="shared" si="837"/>
        <v>911</v>
      </c>
      <c r="O510" s="80">
        <f t="shared" si="838"/>
        <v>1006</v>
      </c>
      <c r="P510" s="81"/>
      <c r="Q510" s="81"/>
      <c r="R510" s="81"/>
      <c r="S510" s="81"/>
      <c r="T510" s="81"/>
      <c r="U510" s="81"/>
      <c r="V510" s="81"/>
      <c r="W510" s="81"/>
      <c r="X510" s="81"/>
      <c r="Y510" s="81"/>
      <c r="Z510" s="81"/>
      <c r="AA510" s="81"/>
      <c r="AB510" s="81"/>
      <c r="AC510" s="81"/>
      <c r="AD510" s="81"/>
      <c r="AE510" s="81"/>
      <c r="AF510" s="81"/>
    </row>
    <row r="511" spans="1:32">
      <c r="A511" s="76" t="s">
        <v>1245</v>
      </c>
      <c r="B511" s="79">
        <f>B513*2*0.4</f>
        <v>25160</v>
      </c>
      <c r="C511" s="79">
        <f t="shared" ref="C511:I511" si="845">C513*2*0.4</f>
        <v>28760</v>
      </c>
      <c r="D511" s="79">
        <f t="shared" si="845"/>
        <v>32360</v>
      </c>
      <c r="E511" s="79">
        <f t="shared" si="845"/>
        <v>35920</v>
      </c>
      <c r="F511" s="79">
        <f t="shared" si="845"/>
        <v>38800</v>
      </c>
      <c r="G511" s="79">
        <f t="shared" si="845"/>
        <v>41680</v>
      </c>
      <c r="H511" s="79">
        <f t="shared" si="845"/>
        <v>44560</v>
      </c>
      <c r="I511" s="79">
        <f t="shared" si="845"/>
        <v>47440</v>
      </c>
      <c r="J511" s="80">
        <f t="shared" si="833"/>
        <v>629</v>
      </c>
      <c r="K511" s="80">
        <f t="shared" si="834"/>
        <v>674</v>
      </c>
      <c r="L511" s="80">
        <f t="shared" si="835"/>
        <v>809</v>
      </c>
      <c r="M511" s="80">
        <f t="shared" si="836"/>
        <v>934</v>
      </c>
      <c r="N511" s="80">
        <f t="shared" si="837"/>
        <v>1042</v>
      </c>
      <c r="O511" s="80">
        <f t="shared" si="838"/>
        <v>1150</v>
      </c>
      <c r="P511" s="81"/>
      <c r="Q511" s="81"/>
      <c r="R511" s="81"/>
      <c r="S511" s="81"/>
      <c r="T511" s="81"/>
      <c r="U511" s="81"/>
      <c r="V511" s="81"/>
      <c r="W511" s="81"/>
      <c r="X511" s="81"/>
      <c r="Y511" s="81"/>
      <c r="Z511" s="81"/>
      <c r="AA511" s="81"/>
      <c r="AB511" s="81"/>
      <c r="AC511" s="81"/>
      <c r="AD511" s="81"/>
      <c r="AE511" s="81"/>
      <c r="AF511" s="81"/>
    </row>
    <row r="512" spans="1:32">
      <c r="A512" s="76" t="s">
        <v>1246</v>
      </c>
      <c r="B512" s="79">
        <f>B513*2*0.45</f>
        <v>28305</v>
      </c>
      <c r="C512" s="79">
        <f t="shared" ref="C512:I512" si="846">C513*2*0.45</f>
        <v>32355</v>
      </c>
      <c r="D512" s="79">
        <f t="shared" si="846"/>
        <v>36405</v>
      </c>
      <c r="E512" s="79">
        <f t="shared" si="846"/>
        <v>40410</v>
      </c>
      <c r="F512" s="79">
        <f t="shared" si="846"/>
        <v>43650</v>
      </c>
      <c r="G512" s="79">
        <f t="shared" si="846"/>
        <v>46890</v>
      </c>
      <c r="H512" s="79">
        <f t="shared" si="846"/>
        <v>50130</v>
      </c>
      <c r="I512" s="79">
        <f t="shared" si="846"/>
        <v>53370</v>
      </c>
      <c r="J512" s="80">
        <f t="shared" si="833"/>
        <v>707</v>
      </c>
      <c r="K512" s="80">
        <f t="shared" si="834"/>
        <v>758</v>
      </c>
      <c r="L512" s="80">
        <f t="shared" si="835"/>
        <v>910</v>
      </c>
      <c r="M512" s="80">
        <f t="shared" si="836"/>
        <v>1050</v>
      </c>
      <c r="N512" s="80">
        <f t="shared" si="837"/>
        <v>1172</v>
      </c>
      <c r="O512" s="80">
        <f t="shared" si="838"/>
        <v>1293</v>
      </c>
      <c r="P512" s="81"/>
      <c r="Q512" s="81"/>
      <c r="R512" s="81"/>
      <c r="S512" s="81"/>
      <c r="T512" s="81"/>
      <c r="U512" s="81"/>
      <c r="V512" s="81"/>
      <c r="W512" s="81"/>
      <c r="X512" s="81"/>
      <c r="Y512" s="81"/>
      <c r="Z512" s="81"/>
      <c r="AA512" s="81"/>
      <c r="AB512" s="81"/>
      <c r="AC512" s="81"/>
      <c r="AD512" s="81"/>
      <c r="AE512" s="81"/>
      <c r="AF512" s="81"/>
    </row>
    <row r="513" spans="1:32">
      <c r="A513" s="82" t="s">
        <v>1247</v>
      </c>
      <c r="B513" s="84">
        <f>'MTSP 50% Income Limits '!B30</f>
        <v>31450</v>
      </c>
      <c r="C513" s="84">
        <f>'MTSP 50% Income Limits '!C30</f>
        <v>35950</v>
      </c>
      <c r="D513" s="84">
        <f>'MTSP 50% Income Limits '!D30</f>
        <v>40450</v>
      </c>
      <c r="E513" s="84">
        <f>'MTSP 50% Income Limits '!E30</f>
        <v>44900</v>
      </c>
      <c r="F513" s="84">
        <f>'MTSP 50% Income Limits '!F30</f>
        <v>48500</v>
      </c>
      <c r="G513" s="84">
        <f>'MTSP 50% Income Limits '!G30</f>
        <v>52100</v>
      </c>
      <c r="H513" s="84">
        <f>'MTSP 50% Income Limits '!H30</f>
        <v>55700</v>
      </c>
      <c r="I513" s="84">
        <f>'MTSP 50% Income Limits '!I30</f>
        <v>59300</v>
      </c>
      <c r="J513" s="83">
        <f>TRUNC(B513/12*0.3)</f>
        <v>786</v>
      </c>
      <c r="K513" s="83">
        <f>TRUNC((B513+C513)/2/12*0.3)</f>
        <v>842</v>
      </c>
      <c r="L513" s="83">
        <f>TRUNC((D513)/12*0.3)</f>
        <v>1011</v>
      </c>
      <c r="M513" s="83">
        <f>TRUNC(((E513+F513)/2)/12*0.3)</f>
        <v>1167</v>
      </c>
      <c r="N513" s="83">
        <f>TRUNC(G513/12*0.3)</f>
        <v>1302</v>
      </c>
      <c r="O513" s="83">
        <f>TRUNC(((H513+I513)/2)/12*0.3)</f>
        <v>1437</v>
      </c>
      <c r="P513" s="81"/>
      <c r="Q513" s="81"/>
      <c r="R513" s="81"/>
      <c r="S513" s="81"/>
      <c r="T513" s="81"/>
      <c r="U513" s="81"/>
      <c r="V513" s="81"/>
      <c r="W513" s="81"/>
      <c r="X513" s="81"/>
      <c r="Y513" s="81"/>
      <c r="Z513" s="81"/>
      <c r="AA513" s="81"/>
      <c r="AB513" s="81"/>
      <c r="AC513" s="81"/>
      <c r="AD513" s="81"/>
      <c r="AE513" s="81"/>
      <c r="AF513" s="81"/>
    </row>
    <row r="514" spans="1:32">
      <c r="A514" s="76" t="s">
        <v>1248</v>
      </c>
      <c r="B514" s="79">
        <f>B513*2*0.55</f>
        <v>34595</v>
      </c>
      <c r="C514" s="79">
        <f t="shared" ref="C514:I514" si="847">C513*2*0.55</f>
        <v>39545</v>
      </c>
      <c r="D514" s="79">
        <f t="shared" si="847"/>
        <v>44495</v>
      </c>
      <c r="E514" s="79">
        <f t="shared" si="847"/>
        <v>49390.000000000007</v>
      </c>
      <c r="F514" s="79">
        <f t="shared" si="847"/>
        <v>53350.000000000007</v>
      </c>
      <c r="G514" s="79">
        <f t="shared" si="847"/>
        <v>57310.000000000007</v>
      </c>
      <c r="H514" s="79">
        <f t="shared" si="847"/>
        <v>61270.000000000007</v>
      </c>
      <c r="I514" s="79">
        <f t="shared" si="847"/>
        <v>65230.000000000007</v>
      </c>
      <c r="J514" s="80">
        <f t="shared" ref="J514:J520" si="848">TRUNC(B514/12*0.3)</f>
        <v>864</v>
      </c>
      <c r="K514" s="80">
        <f t="shared" ref="K514:K520" si="849">TRUNC((B514+C514)/2/12*0.3)</f>
        <v>926</v>
      </c>
      <c r="L514" s="80">
        <f t="shared" ref="L514:L520" si="850">TRUNC((D514)/12*0.3)</f>
        <v>1112</v>
      </c>
      <c r="M514" s="80">
        <f t="shared" ref="M514:M520" si="851">TRUNC(((E514+F514)/2)/12*0.3)</f>
        <v>1284</v>
      </c>
      <c r="N514" s="80">
        <f t="shared" ref="N514:N520" si="852">TRUNC(G514/12*0.3)</f>
        <v>1432</v>
      </c>
      <c r="O514" s="80">
        <f t="shared" ref="O514:O520" si="853">TRUNC(((H514+I514)/2)/12*0.3)</f>
        <v>1581</v>
      </c>
      <c r="P514" s="81"/>
      <c r="Q514" s="81"/>
      <c r="R514" s="81"/>
      <c r="S514" s="81"/>
      <c r="T514" s="81"/>
      <c r="U514" s="81"/>
      <c r="V514" s="81"/>
      <c r="W514" s="81"/>
      <c r="X514" s="81"/>
      <c r="Y514" s="81"/>
      <c r="Z514" s="81"/>
      <c r="AA514" s="81"/>
      <c r="AB514" s="81"/>
      <c r="AC514" s="81"/>
      <c r="AD514" s="81"/>
      <c r="AE514" s="81"/>
      <c r="AF514" s="81"/>
    </row>
    <row r="515" spans="1:32">
      <c r="A515" s="76" t="s">
        <v>1249</v>
      </c>
      <c r="B515" s="79">
        <f>B513*2*0.6</f>
        <v>37740</v>
      </c>
      <c r="C515" s="79">
        <f t="shared" ref="C515:I515" si="854">C513*2*0.6</f>
        <v>43140</v>
      </c>
      <c r="D515" s="79">
        <f t="shared" si="854"/>
        <v>48540</v>
      </c>
      <c r="E515" s="79">
        <f t="shared" si="854"/>
        <v>53880</v>
      </c>
      <c r="F515" s="79">
        <f t="shared" si="854"/>
        <v>58200</v>
      </c>
      <c r="G515" s="79">
        <f t="shared" si="854"/>
        <v>62520</v>
      </c>
      <c r="H515" s="79">
        <f t="shared" si="854"/>
        <v>66840</v>
      </c>
      <c r="I515" s="79">
        <f t="shared" si="854"/>
        <v>71160</v>
      </c>
      <c r="J515" s="80">
        <f t="shared" si="848"/>
        <v>943</v>
      </c>
      <c r="K515" s="80">
        <f t="shared" si="849"/>
        <v>1011</v>
      </c>
      <c r="L515" s="80">
        <f t="shared" si="850"/>
        <v>1213</v>
      </c>
      <c r="M515" s="80">
        <f t="shared" si="851"/>
        <v>1401</v>
      </c>
      <c r="N515" s="80">
        <f t="shared" si="852"/>
        <v>1563</v>
      </c>
      <c r="O515" s="80">
        <f t="shared" si="853"/>
        <v>1725</v>
      </c>
      <c r="P515" s="81"/>
      <c r="Q515" s="81"/>
      <c r="R515" s="81"/>
      <c r="S515" s="81"/>
      <c r="T515" s="81"/>
      <c r="U515" s="81"/>
      <c r="V515" s="81"/>
      <c r="W515" s="81"/>
      <c r="X515" s="81"/>
      <c r="Y515" s="81"/>
      <c r="Z515" s="81"/>
      <c r="AA515" s="81"/>
      <c r="AB515" s="81"/>
      <c r="AC515" s="81"/>
      <c r="AD515" s="81"/>
      <c r="AE515" s="81"/>
      <c r="AF515" s="81"/>
    </row>
    <row r="516" spans="1:32">
      <c r="A516" s="76" t="s">
        <v>1250</v>
      </c>
      <c r="B516" s="79">
        <f>B513*2*0.65</f>
        <v>40885</v>
      </c>
      <c r="C516" s="79">
        <f t="shared" ref="C516:I516" si="855">C513*2*0.65</f>
        <v>46735</v>
      </c>
      <c r="D516" s="79">
        <f t="shared" si="855"/>
        <v>52585</v>
      </c>
      <c r="E516" s="79">
        <f t="shared" si="855"/>
        <v>58370</v>
      </c>
      <c r="F516" s="79">
        <f t="shared" si="855"/>
        <v>63050</v>
      </c>
      <c r="G516" s="79">
        <f t="shared" si="855"/>
        <v>67730</v>
      </c>
      <c r="H516" s="79">
        <f t="shared" si="855"/>
        <v>72410</v>
      </c>
      <c r="I516" s="79">
        <f t="shared" si="855"/>
        <v>77090</v>
      </c>
      <c r="J516" s="80">
        <f t="shared" si="848"/>
        <v>1022</v>
      </c>
      <c r="K516" s="80">
        <f t="shared" si="849"/>
        <v>1095</v>
      </c>
      <c r="L516" s="80">
        <f t="shared" si="850"/>
        <v>1314</v>
      </c>
      <c r="M516" s="80">
        <f t="shared" si="851"/>
        <v>1517</v>
      </c>
      <c r="N516" s="80">
        <f t="shared" si="852"/>
        <v>1693</v>
      </c>
      <c r="O516" s="80">
        <f t="shared" si="853"/>
        <v>1868</v>
      </c>
      <c r="P516" s="81"/>
      <c r="Q516" s="81"/>
      <c r="R516" s="81"/>
      <c r="S516" s="81"/>
      <c r="T516" s="81"/>
      <c r="U516" s="81"/>
      <c r="V516" s="81"/>
      <c r="W516" s="81"/>
      <c r="X516" s="81"/>
      <c r="Y516" s="81"/>
      <c r="Z516" s="81"/>
      <c r="AA516" s="81"/>
      <c r="AB516" s="81"/>
      <c r="AC516" s="81"/>
      <c r="AD516" s="81"/>
      <c r="AE516" s="81"/>
      <c r="AF516" s="81"/>
    </row>
    <row r="517" spans="1:32">
      <c r="A517" s="76" t="s">
        <v>1251</v>
      </c>
      <c r="B517" s="79">
        <f>B513*2*0.7</f>
        <v>44030</v>
      </c>
      <c r="C517" s="79">
        <f t="shared" ref="C517:I517" si="856">C513*2*0.7</f>
        <v>50330</v>
      </c>
      <c r="D517" s="79">
        <f t="shared" si="856"/>
        <v>56630</v>
      </c>
      <c r="E517" s="79">
        <f t="shared" si="856"/>
        <v>62859.999999999993</v>
      </c>
      <c r="F517" s="79">
        <f t="shared" si="856"/>
        <v>67900</v>
      </c>
      <c r="G517" s="79">
        <f t="shared" si="856"/>
        <v>72940</v>
      </c>
      <c r="H517" s="79">
        <f t="shared" si="856"/>
        <v>77980</v>
      </c>
      <c r="I517" s="79">
        <f t="shared" si="856"/>
        <v>83020</v>
      </c>
      <c r="J517" s="80">
        <f t="shared" si="848"/>
        <v>1100</v>
      </c>
      <c r="K517" s="80">
        <f t="shared" si="849"/>
        <v>1179</v>
      </c>
      <c r="L517" s="80">
        <f t="shared" si="850"/>
        <v>1415</v>
      </c>
      <c r="M517" s="80">
        <f t="shared" si="851"/>
        <v>1634</v>
      </c>
      <c r="N517" s="80">
        <f t="shared" si="852"/>
        <v>1823</v>
      </c>
      <c r="O517" s="80">
        <f t="shared" si="853"/>
        <v>2012</v>
      </c>
      <c r="P517" s="81"/>
      <c r="Q517" s="81"/>
      <c r="R517" s="81"/>
      <c r="S517" s="81"/>
      <c r="T517" s="81"/>
      <c r="U517" s="81"/>
      <c r="V517" s="81"/>
      <c r="W517" s="81"/>
      <c r="X517" s="81"/>
      <c r="Y517" s="81"/>
      <c r="Z517" s="81"/>
      <c r="AA517" s="81"/>
      <c r="AB517" s="81"/>
      <c r="AC517" s="81"/>
      <c r="AD517" s="81"/>
      <c r="AE517" s="81"/>
      <c r="AF517" s="81"/>
    </row>
    <row r="518" spans="1:32">
      <c r="A518" s="76" t="s">
        <v>1252</v>
      </c>
      <c r="B518" s="79">
        <f>B513*2*0.75</f>
        <v>47175</v>
      </c>
      <c r="C518" s="79">
        <f t="shared" ref="C518:I518" si="857">C513*2*0.75</f>
        <v>53925</v>
      </c>
      <c r="D518" s="79">
        <f t="shared" si="857"/>
        <v>60675</v>
      </c>
      <c r="E518" s="79">
        <f t="shared" si="857"/>
        <v>67350</v>
      </c>
      <c r="F518" s="79">
        <f t="shared" si="857"/>
        <v>72750</v>
      </c>
      <c r="G518" s="79">
        <f t="shared" si="857"/>
        <v>78150</v>
      </c>
      <c r="H518" s="79">
        <f t="shared" si="857"/>
        <v>83550</v>
      </c>
      <c r="I518" s="79">
        <f t="shared" si="857"/>
        <v>88950</v>
      </c>
      <c r="J518" s="80">
        <f t="shared" si="848"/>
        <v>1179</v>
      </c>
      <c r="K518" s="80">
        <f t="shared" si="849"/>
        <v>1263</v>
      </c>
      <c r="L518" s="80">
        <f t="shared" si="850"/>
        <v>1516</v>
      </c>
      <c r="M518" s="80">
        <f t="shared" si="851"/>
        <v>1751</v>
      </c>
      <c r="N518" s="80">
        <f t="shared" si="852"/>
        <v>1953</v>
      </c>
      <c r="O518" s="80">
        <f t="shared" si="853"/>
        <v>2156</v>
      </c>
      <c r="P518" s="81"/>
      <c r="Q518" s="81"/>
      <c r="R518" s="81"/>
      <c r="S518" s="81"/>
      <c r="T518" s="81"/>
      <c r="U518" s="81"/>
      <c r="V518" s="81"/>
      <c r="W518" s="81"/>
      <c r="X518" s="81"/>
      <c r="Y518" s="81"/>
      <c r="Z518" s="81"/>
      <c r="AA518" s="81"/>
      <c r="AB518" s="81"/>
      <c r="AC518" s="81"/>
      <c r="AD518" s="81"/>
      <c r="AE518" s="81"/>
      <c r="AF518" s="81"/>
    </row>
    <row r="519" spans="1:32">
      <c r="A519" s="76" t="s">
        <v>1253</v>
      </c>
      <c r="B519" s="79">
        <f>B513*2*0.8</f>
        <v>50320</v>
      </c>
      <c r="C519" s="79">
        <f t="shared" ref="C519:I519" si="858">C513*2*0.8</f>
        <v>57520</v>
      </c>
      <c r="D519" s="79">
        <f t="shared" si="858"/>
        <v>64720</v>
      </c>
      <c r="E519" s="79">
        <f t="shared" si="858"/>
        <v>71840</v>
      </c>
      <c r="F519" s="79">
        <f t="shared" si="858"/>
        <v>77600</v>
      </c>
      <c r="G519" s="79">
        <f t="shared" si="858"/>
        <v>83360</v>
      </c>
      <c r="H519" s="79">
        <f t="shared" si="858"/>
        <v>89120</v>
      </c>
      <c r="I519" s="79">
        <f t="shared" si="858"/>
        <v>94880</v>
      </c>
      <c r="J519" s="80">
        <f t="shared" si="848"/>
        <v>1258</v>
      </c>
      <c r="K519" s="80">
        <f t="shared" si="849"/>
        <v>1348</v>
      </c>
      <c r="L519" s="80">
        <f t="shared" si="850"/>
        <v>1618</v>
      </c>
      <c r="M519" s="80">
        <f t="shared" si="851"/>
        <v>1868</v>
      </c>
      <c r="N519" s="80">
        <f t="shared" si="852"/>
        <v>2084</v>
      </c>
      <c r="O519" s="80">
        <f t="shared" si="853"/>
        <v>2300</v>
      </c>
      <c r="P519" s="81"/>
      <c r="Q519" s="81"/>
      <c r="R519" s="81"/>
      <c r="S519" s="81"/>
      <c r="T519" s="81"/>
      <c r="U519" s="81"/>
      <c r="V519" s="81"/>
      <c r="W519" s="81"/>
      <c r="X519" s="81"/>
      <c r="Y519" s="81"/>
      <c r="Z519" s="81"/>
      <c r="AA519" s="81"/>
      <c r="AB519" s="81"/>
      <c r="AC519" s="81"/>
      <c r="AD519" s="81"/>
      <c r="AE519" s="81"/>
      <c r="AF519" s="81"/>
    </row>
    <row r="520" spans="1:32">
      <c r="A520" s="76" t="s">
        <v>1254</v>
      </c>
      <c r="B520" s="79">
        <f>B513*2*0.9</f>
        <v>56610</v>
      </c>
      <c r="C520" s="79">
        <f t="shared" ref="C520:I520" si="859">C513*2*0.9</f>
        <v>64710</v>
      </c>
      <c r="D520" s="79">
        <f t="shared" si="859"/>
        <v>72810</v>
      </c>
      <c r="E520" s="79">
        <f t="shared" si="859"/>
        <v>80820</v>
      </c>
      <c r="F520" s="79">
        <f t="shared" si="859"/>
        <v>87300</v>
      </c>
      <c r="G520" s="79">
        <f t="shared" si="859"/>
        <v>93780</v>
      </c>
      <c r="H520" s="79">
        <f t="shared" si="859"/>
        <v>100260</v>
      </c>
      <c r="I520" s="79">
        <f t="shared" si="859"/>
        <v>106740</v>
      </c>
      <c r="J520" s="80">
        <f t="shared" si="848"/>
        <v>1415</v>
      </c>
      <c r="K520" s="80">
        <f t="shared" si="849"/>
        <v>1516</v>
      </c>
      <c r="L520" s="80">
        <f t="shared" si="850"/>
        <v>1820</v>
      </c>
      <c r="M520" s="80">
        <f t="shared" si="851"/>
        <v>2101</v>
      </c>
      <c r="N520" s="80">
        <f t="shared" si="852"/>
        <v>2344</v>
      </c>
      <c r="O520" s="80">
        <f t="shared" si="853"/>
        <v>2587</v>
      </c>
      <c r="P520" s="81"/>
      <c r="Q520" s="81"/>
      <c r="R520" s="81"/>
      <c r="S520" s="81"/>
      <c r="T520" s="81"/>
      <c r="U520" s="81"/>
      <c r="V520" s="81"/>
      <c r="W520" s="81"/>
      <c r="X520" s="81"/>
      <c r="Y520" s="81"/>
      <c r="Z520" s="81"/>
      <c r="AA520" s="81"/>
      <c r="AB520" s="81"/>
      <c r="AC520" s="81"/>
      <c r="AD520" s="81"/>
      <c r="AE520" s="81"/>
      <c r="AF520" s="81"/>
    </row>
    <row r="521" spans="1:32">
      <c r="A521" s="76" t="s">
        <v>1255</v>
      </c>
      <c r="B521" s="79">
        <f>B513*2</f>
        <v>62900</v>
      </c>
      <c r="C521" s="79">
        <f t="shared" ref="C521:I521" si="860">C513*2</f>
        <v>71900</v>
      </c>
      <c r="D521" s="79">
        <f t="shared" si="860"/>
        <v>80900</v>
      </c>
      <c r="E521" s="79">
        <f t="shared" si="860"/>
        <v>89800</v>
      </c>
      <c r="F521" s="79">
        <f t="shared" si="860"/>
        <v>97000</v>
      </c>
      <c r="G521" s="79">
        <f t="shared" si="860"/>
        <v>104200</v>
      </c>
      <c r="H521" s="79">
        <f t="shared" si="860"/>
        <v>111400</v>
      </c>
      <c r="I521" s="79">
        <f t="shared" si="860"/>
        <v>118600</v>
      </c>
      <c r="J521" s="80">
        <f>J513*2</f>
        <v>1572</v>
      </c>
      <c r="K521" s="80">
        <f t="shared" ref="K521:O521" si="861">K513*2</f>
        <v>1684</v>
      </c>
      <c r="L521" s="80">
        <f t="shared" si="861"/>
        <v>2022</v>
      </c>
      <c r="M521" s="80">
        <f t="shared" si="861"/>
        <v>2334</v>
      </c>
      <c r="N521" s="80">
        <f t="shared" si="861"/>
        <v>2604</v>
      </c>
      <c r="O521" s="80">
        <f t="shared" si="861"/>
        <v>2874</v>
      </c>
      <c r="P521" s="81"/>
      <c r="Q521" s="81"/>
      <c r="R521" s="81"/>
      <c r="S521" s="81"/>
      <c r="T521" s="81"/>
      <c r="U521" s="81"/>
      <c r="V521" s="81"/>
      <c r="W521" s="81"/>
      <c r="X521" s="81"/>
      <c r="Y521" s="81"/>
      <c r="Z521" s="81"/>
      <c r="AA521" s="81"/>
      <c r="AB521" s="81"/>
      <c r="AC521" s="81"/>
      <c r="AD521" s="81"/>
      <c r="AE521" s="81"/>
      <c r="AF521" s="81"/>
    </row>
    <row r="522" spans="1:32">
      <c r="A522" s="76" t="s">
        <v>1256</v>
      </c>
      <c r="B522" s="79">
        <f>B513*2*1.1</f>
        <v>69190</v>
      </c>
      <c r="C522" s="79">
        <f t="shared" ref="C522:I522" si="862">C513*2*1.1</f>
        <v>79090</v>
      </c>
      <c r="D522" s="79">
        <f t="shared" si="862"/>
        <v>88990</v>
      </c>
      <c r="E522" s="79">
        <f t="shared" si="862"/>
        <v>98780.000000000015</v>
      </c>
      <c r="F522" s="79">
        <f t="shared" si="862"/>
        <v>106700.00000000001</v>
      </c>
      <c r="G522" s="79">
        <f t="shared" si="862"/>
        <v>114620.00000000001</v>
      </c>
      <c r="H522" s="79">
        <f t="shared" si="862"/>
        <v>122540.00000000001</v>
      </c>
      <c r="I522" s="79">
        <f t="shared" si="862"/>
        <v>130460.00000000001</v>
      </c>
      <c r="J522" s="80">
        <f t="shared" ref="J522:J530" si="863">TRUNC(B522/12*0.3)</f>
        <v>1729</v>
      </c>
      <c r="K522" s="80">
        <f t="shared" ref="K522:K530" si="864">TRUNC((B522+C522)/2/12*0.3)</f>
        <v>1853</v>
      </c>
      <c r="L522" s="80">
        <f t="shared" ref="L522:L530" si="865">TRUNC((D522)/12*0.3)</f>
        <v>2224</v>
      </c>
      <c r="M522" s="80">
        <f t="shared" ref="M522:M530" si="866">TRUNC(((E522+F522)/2)/12*0.3)</f>
        <v>2568</v>
      </c>
      <c r="N522" s="80">
        <f t="shared" ref="N522:N530" si="867">TRUNC(G522/12*0.3)</f>
        <v>2865</v>
      </c>
      <c r="O522" s="80">
        <f t="shared" ref="O522:O530" si="868">TRUNC(((H522+I522)/2)/12*0.3)</f>
        <v>3162</v>
      </c>
      <c r="P522" s="81"/>
      <c r="Q522" s="81"/>
      <c r="R522" s="81"/>
      <c r="S522" s="81"/>
      <c r="T522" s="81"/>
      <c r="U522" s="81"/>
      <c r="V522" s="81"/>
      <c r="W522" s="81"/>
      <c r="X522" s="81"/>
      <c r="Y522" s="81"/>
      <c r="Z522" s="81"/>
      <c r="AA522" s="81"/>
      <c r="AB522" s="81"/>
      <c r="AC522" s="81"/>
      <c r="AD522" s="81"/>
      <c r="AE522" s="81"/>
      <c r="AF522" s="81"/>
    </row>
    <row r="523" spans="1:32">
      <c r="A523" s="76" t="s">
        <v>1257</v>
      </c>
      <c r="B523" s="79">
        <f>B513*2*1.2</f>
        <v>75480</v>
      </c>
      <c r="C523" s="79">
        <f t="shared" ref="C523:I523" si="869">C513*2*1.2</f>
        <v>86280</v>
      </c>
      <c r="D523" s="79">
        <f t="shared" si="869"/>
        <v>97080</v>
      </c>
      <c r="E523" s="79">
        <f t="shared" si="869"/>
        <v>107760</v>
      </c>
      <c r="F523" s="79">
        <f t="shared" si="869"/>
        <v>116400</v>
      </c>
      <c r="G523" s="79">
        <f t="shared" si="869"/>
        <v>125040</v>
      </c>
      <c r="H523" s="79">
        <f t="shared" si="869"/>
        <v>133680</v>
      </c>
      <c r="I523" s="79">
        <f t="shared" si="869"/>
        <v>142320</v>
      </c>
      <c r="J523" s="80">
        <f t="shared" si="863"/>
        <v>1887</v>
      </c>
      <c r="K523" s="80">
        <f t="shared" si="864"/>
        <v>2022</v>
      </c>
      <c r="L523" s="80">
        <f t="shared" si="865"/>
        <v>2427</v>
      </c>
      <c r="M523" s="80">
        <f t="shared" si="866"/>
        <v>2802</v>
      </c>
      <c r="N523" s="80">
        <f t="shared" si="867"/>
        <v>3126</v>
      </c>
      <c r="O523" s="80">
        <f t="shared" si="868"/>
        <v>3450</v>
      </c>
      <c r="P523" s="81"/>
      <c r="Q523" s="81"/>
      <c r="R523" s="81"/>
      <c r="S523" s="81"/>
      <c r="T523" s="81"/>
      <c r="U523" s="81"/>
      <c r="V523" s="81"/>
      <c r="W523" s="81"/>
      <c r="X523" s="81"/>
      <c r="Y523" s="81"/>
      <c r="Z523" s="81"/>
      <c r="AA523" s="81"/>
      <c r="AB523" s="81"/>
      <c r="AC523" s="81"/>
      <c r="AD523" s="81"/>
      <c r="AE523" s="81"/>
      <c r="AF523" s="81"/>
    </row>
    <row r="524" spans="1:32">
      <c r="A524" s="76" t="s">
        <v>1258</v>
      </c>
      <c r="B524" s="79">
        <f>B531*2*0.15</f>
        <v>14130</v>
      </c>
      <c r="C524" s="79">
        <f>C531*2*0.15</f>
        <v>16140</v>
      </c>
      <c r="D524" s="79">
        <f>D531*2*0.15</f>
        <v>18165</v>
      </c>
      <c r="E524" s="79">
        <f>E531*2*0.15</f>
        <v>20175</v>
      </c>
      <c r="F524" s="79">
        <f>F531*2*0.15</f>
        <v>21795</v>
      </c>
      <c r="G524" s="79">
        <f t="shared" ref="G524:I524" si="870">G531*2*0.15</f>
        <v>23415</v>
      </c>
      <c r="H524" s="79">
        <f t="shared" si="870"/>
        <v>25020</v>
      </c>
      <c r="I524" s="79">
        <f t="shared" si="870"/>
        <v>26640</v>
      </c>
      <c r="J524" s="80">
        <f t="shared" si="863"/>
        <v>353</v>
      </c>
      <c r="K524" s="80">
        <f t="shared" si="864"/>
        <v>378</v>
      </c>
      <c r="L524" s="80">
        <f t="shared" si="865"/>
        <v>454</v>
      </c>
      <c r="M524" s="80">
        <f t="shared" si="866"/>
        <v>524</v>
      </c>
      <c r="N524" s="80">
        <f t="shared" si="867"/>
        <v>585</v>
      </c>
      <c r="O524" s="80">
        <f t="shared" si="868"/>
        <v>645</v>
      </c>
      <c r="P524" s="81"/>
      <c r="Q524" s="81"/>
      <c r="R524" s="81"/>
      <c r="S524" s="81"/>
      <c r="T524" s="81"/>
      <c r="U524" s="81"/>
      <c r="V524" s="81"/>
      <c r="W524" s="81"/>
      <c r="X524" s="81"/>
      <c r="Y524" s="81"/>
      <c r="Z524" s="81"/>
      <c r="AA524" s="81"/>
      <c r="AB524" s="81"/>
      <c r="AC524" s="81"/>
      <c r="AD524" s="81"/>
      <c r="AE524" s="81"/>
      <c r="AF524" s="81"/>
    </row>
    <row r="525" spans="1:32">
      <c r="A525" s="76" t="s">
        <v>1259</v>
      </c>
      <c r="B525" s="79">
        <f>B531*2*0.2</f>
        <v>18840</v>
      </c>
      <c r="C525" s="79">
        <f t="shared" ref="C525:I525" si="871">C531*2*0.2</f>
        <v>21520</v>
      </c>
      <c r="D525" s="79">
        <f t="shared" si="871"/>
        <v>24220</v>
      </c>
      <c r="E525" s="79">
        <f t="shared" si="871"/>
        <v>26900</v>
      </c>
      <c r="F525" s="79">
        <f t="shared" si="871"/>
        <v>29060</v>
      </c>
      <c r="G525" s="79">
        <f t="shared" si="871"/>
        <v>31220</v>
      </c>
      <c r="H525" s="79">
        <f t="shared" si="871"/>
        <v>33360</v>
      </c>
      <c r="I525" s="79">
        <f t="shared" si="871"/>
        <v>35520</v>
      </c>
      <c r="J525" s="80">
        <f t="shared" si="863"/>
        <v>471</v>
      </c>
      <c r="K525" s="80">
        <f t="shared" si="864"/>
        <v>504</v>
      </c>
      <c r="L525" s="80">
        <f t="shared" si="865"/>
        <v>605</v>
      </c>
      <c r="M525" s="80">
        <f t="shared" si="866"/>
        <v>699</v>
      </c>
      <c r="N525" s="80">
        <f t="shared" si="867"/>
        <v>780</v>
      </c>
      <c r="O525" s="80">
        <f t="shared" si="868"/>
        <v>861</v>
      </c>
      <c r="P525" s="81"/>
      <c r="Q525" s="81"/>
      <c r="R525" s="81"/>
      <c r="S525" s="81"/>
      <c r="T525" s="81"/>
      <c r="U525" s="81"/>
      <c r="V525" s="81"/>
      <c r="W525" s="81"/>
      <c r="X525" s="81"/>
      <c r="Y525" s="81"/>
      <c r="Z525" s="81"/>
      <c r="AA525" s="81"/>
      <c r="AB525" s="81"/>
      <c r="AC525" s="81"/>
      <c r="AD525" s="81"/>
      <c r="AE525" s="81"/>
      <c r="AF525" s="81"/>
    </row>
    <row r="526" spans="1:32">
      <c r="A526" s="76" t="s">
        <v>1260</v>
      </c>
      <c r="B526" s="79">
        <f>B531*2*0.25</f>
        <v>23550</v>
      </c>
      <c r="C526" s="79">
        <f t="shared" ref="C526:I526" si="872">C531*2*0.25</f>
        <v>26900</v>
      </c>
      <c r="D526" s="79">
        <f t="shared" si="872"/>
        <v>30275</v>
      </c>
      <c r="E526" s="79">
        <f t="shared" si="872"/>
        <v>33625</v>
      </c>
      <c r="F526" s="79">
        <f t="shared" si="872"/>
        <v>36325</v>
      </c>
      <c r="G526" s="79">
        <f t="shared" si="872"/>
        <v>39025</v>
      </c>
      <c r="H526" s="79">
        <f t="shared" si="872"/>
        <v>41700</v>
      </c>
      <c r="I526" s="79">
        <f t="shared" si="872"/>
        <v>44400</v>
      </c>
      <c r="J526" s="80">
        <f t="shared" si="863"/>
        <v>588</v>
      </c>
      <c r="K526" s="80">
        <f t="shared" si="864"/>
        <v>630</v>
      </c>
      <c r="L526" s="80">
        <f t="shared" si="865"/>
        <v>756</v>
      </c>
      <c r="M526" s="80">
        <f t="shared" si="866"/>
        <v>874</v>
      </c>
      <c r="N526" s="80">
        <f t="shared" si="867"/>
        <v>975</v>
      </c>
      <c r="O526" s="80">
        <f t="shared" si="868"/>
        <v>1076</v>
      </c>
      <c r="P526" s="81"/>
      <c r="Q526" s="81"/>
      <c r="R526" s="81"/>
      <c r="S526" s="81"/>
      <c r="T526" s="81"/>
      <c r="U526" s="81"/>
      <c r="V526" s="81"/>
      <c r="W526" s="81"/>
      <c r="X526" s="81"/>
      <c r="Y526" s="81"/>
      <c r="Z526" s="81"/>
      <c r="AA526" s="81"/>
      <c r="AB526" s="81"/>
      <c r="AC526" s="81"/>
      <c r="AD526" s="81"/>
      <c r="AE526" s="81"/>
      <c r="AF526" s="81"/>
    </row>
    <row r="527" spans="1:32">
      <c r="A527" s="76" t="s">
        <v>1261</v>
      </c>
      <c r="B527" s="79">
        <f>B531*2*0.3</f>
        <v>28260</v>
      </c>
      <c r="C527" s="79">
        <f t="shared" ref="C527:I527" si="873">C531*2*0.3</f>
        <v>32280</v>
      </c>
      <c r="D527" s="79">
        <f t="shared" si="873"/>
        <v>36330</v>
      </c>
      <c r="E527" s="79">
        <f t="shared" si="873"/>
        <v>40350</v>
      </c>
      <c r="F527" s="79">
        <f t="shared" si="873"/>
        <v>43590</v>
      </c>
      <c r="G527" s="79">
        <f t="shared" si="873"/>
        <v>46830</v>
      </c>
      <c r="H527" s="79">
        <f t="shared" si="873"/>
        <v>50040</v>
      </c>
      <c r="I527" s="79">
        <f t="shared" si="873"/>
        <v>53280</v>
      </c>
      <c r="J527" s="80">
        <f t="shared" si="863"/>
        <v>706</v>
      </c>
      <c r="K527" s="80">
        <f t="shared" si="864"/>
        <v>756</v>
      </c>
      <c r="L527" s="80">
        <f t="shared" si="865"/>
        <v>908</v>
      </c>
      <c r="M527" s="80">
        <f t="shared" si="866"/>
        <v>1049</v>
      </c>
      <c r="N527" s="80">
        <f t="shared" si="867"/>
        <v>1170</v>
      </c>
      <c r="O527" s="80">
        <f t="shared" si="868"/>
        <v>1291</v>
      </c>
      <c r="P527" s="81"/>
      <c r="Q527" s="81"/>
      <c r="R527" s="81"/>
      <c r="S527" s="81"/>
      <c r="T527" s="81"/>
      <c r="U527" s="81"/>
      <c r="V527" s="81"/>
      <c r="W527" s="81"/>
      <c r="X527" s="81"/>
      <c r="Y527" s="81"/>
      <c r="Z527" s="81"/>
      <c r="AA527" s="81"/>
      <c r="AB527" s="81"/>
      <c r="AC527" s="81"/>
      <c r="AD527" s="81"/>
      <c r="AE527" s="81"/>
      <c r="AF527" s="81"/>
    </row>
    <row r="528" spans="1:32">
      <c r="A528" s="76" t="s">
        <v>1262</v>
      </c>
      <c r="B528" s="79">
        <f>B531*2*0.35</f>
        <v>32970</v>
      </c>
      <c r="C528" s="79">
        <f t="shared" ref="C528:I528" si="874">C531*2*0.35</f>
        <v>37660</v>
      </c>
      <c r="D528" s="79">
        <f t="shared" si="874"/>
        <v>42385</v>
      </c>
      <c r="E528" s="79">
        <f t="shared" si="874"/>
        <v>47075</v>
      </c>
      <c r="F528" s="79">
        <f t="shared" si="874"/>
        <v>50855</v>
      </c>
      <c r="G528" s="79">
        <f t="shared" si="874"/>
        <v>54635</v>
      </c>
      <c r="H528" s="79">
        <f t="shared" si="874"/>
        <v>58379.999999999993</v>
      </c>
      <c r="I528" s="79">
        <f t="shared" si="874"/>
        <v>62159.999999999993</v>
      </c>
      <c r="J528" s="80">
        <f t="shared" si="863"/>
        <v>824</v>
      </c>
      <c r="K528" s="80">
        <f t="shared" si="864"/>
        <v>882</v>
      </c>
      <c r="L528" s="80">
        <f t="shared" si="865"/>
        <v>1059</v>
      </c>
      <c r="M528" s="80">
        <f t="shared" si="866"/>
        <v>1224</v>
      </c>
      <c r="N528" s="80">
        <f t="shared" si="867"/>
        <v>1365</v>
      </c>
      <c r="O528" s="80">
        <f t="shared" si="868"/>
        <v>1506</v>
      </c>
      <c r="P528" s="81"/>
      <c r="Q528" s="81"/>
      <c r="R528" s="81"/>
      <c r="S528" s="81"/>
      <c r="T528" s="81"/>
      <c r="U528" s="81"/>
      <c r="V528" s="81"/>
      <c r="W528" s="81"/>
      <c r="X528" s="81"/>
      <c r="Y528" s="81"/>
      <c r="Z528" s="81"/>
      <c r="AA528" s="81"/>
      <c r="AB528" s="81"/>
      <c r="AC528" s="81"/>
      <c r="AD528" s="81"/>
      <c r="AE528" s="81"/>
      <c r="AF528" s="81"/>
    </row>
    <row r="529" spans="1:32">
      <c r="A529" s="76" t="s">
        <v>1263</v>
      </c>
      <c r="B529" s="79">
        <f>B531*2*0.4</f>
        <v>37680</v>
      </c>
      <c r="C529" s="79">
        <f t="shared" ref="C529:I529" si="875">C531*2*0.4</f>
        <v>43040</v>
      </c>
      <c r="D529" s="79">
        <f t="shared" si="875"/>
        <v>48440</v>
      </c>
      <c r="E529" s="79">
        <f t="shared" si="875"/>
        <v>53800</v>
      </c>
      <c r="F529" s="79">
        <f t="shared" si="875"/>
        <v>58120</v>
      </c>
      <c r="G529" s="79">
        <f t="shared" si="875"/>
        <v>62440</v>
      </c>
      <c r="H529" s="79">
        <f t="shared" si="875"/>
        <v>66720</v>
      </c>
      <c r="I529" s="79">
        <f t="shared" si="875"/>
        <v>71040</v>
      </c>
      <c r="J529" s="80">
        <f t="shared" si="863"/>
        <v>942</v>
      </c>
      <c r="K529" s="80">
        <f t="shared" si="864"/>
        <v>1009</v>
      </c>
      <c r="L529" s="80">
        <f t="shared" si="865"/>
        <v>1211</v>
      </c>
      <c r="M529" s="80">
        <f t="shared" si="866"/>
        <v>1399</v>
      </c>
      <c r="N529" s="80">
        <f t="shared" si="867"/>
        <v>1561</v>
      </c>
      <c r="O529" s="80">
        <f t="shared" si="868"/>
        <v>1722</v>
      </c>
      <c r="P529" s="81"/>
      <c r="Q529" s="81"/>
      <c r="R529" s="81"/>
      <c r="S529" s="81"/>
      <c r="T529" s="81"/>
      <c r="U529" s="81"/>
      <c r="V529" s="81"/>
      <c r="W529" s="81"/>
      <c r="X529" s="81"/>
      <c r="Y529" s="81"/>
      <c r="Z529" s="81"/>
      <c r="AA529" s="81"/>
      <c r="AB529" s="81"/>
      <c r="AC529" s="81"/>
      <c r="AD529" s="81"/>
      <c r="AE529" s="81"/>
      <c r="AF529" s="81"/>
    </row>
    <row r="530" spans="1:32">
      <c r="A530" s="76" t="s">
        <v>1264</v>
      </c>
      <c r="B530" s="79">
        <f>B531*2*0.45</f>
        <v>42390</v>
      </c>
      <c r="C530" s="79">
        <f t="shared" ref="C530:I530" si="876">C531*2*0.45</f>
        <v>48420</v>
      </c>
      <c r="D530" s="79">
        <f t="shared" si="876"/>
        <v>54495</v>
      </c>
      <c r="E530" s="79">
        <f t="shared" si="876"/>
        <v>60525</v>
      </c>
      <c r="F530" s="79">
        <f t="shared" si="876"/>
        <v>65385</v>
      </c>
      <c r="G530" s="79">
        <f t="shared" si="876"/>
        <v>70245</v>
      </c>
      <c r="H530" s="79">
        <f t="shared" si="876"/>
        <v>75060</v>
      </c>
      <c r="I530" s="79">
        <f t="shared" si="876"/>
        <v>79920</v>
      </c>
      <c r="J530" s="80">
        <f t="shared" si="863"/>
        <v>1059</v>
      </c>
      <c r="K530" s="80">
        <f t="shared" si="864"/>
        <v>1135</v>
      </c>
      <c r="L530" s="80">
        <f t="shared" si="865"/>
        <v>1362</v>
      </c>
      <c r="M530" s="80">
        <f t="shared" si="866"/>
        <v>1573</v>
      </c>
      <c r="N530" s="80">
        <f t="shared" si="867"/>
        <v>1756</v>
      </c>
      <c r="O530" s="80">
        <f t="shared" si="868"/>
        <v>1937</v>
      </c>
      <c r="P530" s="81"/>
      <c r="Q530" s="81"/>
      <c r="R530" s="81"/>
      <c r="S530" s="81"/>
      <c r="T530" s="81"/>
      <c r="U530" s="81"/>
      <c r="V530" s="81"/>
      <c r="W530" s="81"/>
      <c r="X530" s="81"/>
      <c r="Y530" s="81"/>
      <c r="Z530" s="81"/>
      <c r="AA530" s="81"/>
      <c r="AB530" s="81"/>
      <c r="AC530" s="81"/>
      <c r="AD530" s="81"/>
      <c r="AE530" s="81"/>
      <c r="AF530" s="81"/>
    </row>
    <row r="531" spans="1:32">
      <c r="A531" s="82" t="s">
        <v>1265</v>
      </c>
      <c r="B531" s="84">
        <f>'MTSP 50% Income Limits '!B31</f>
        <v>47100</v>
      </c>
      <c r="C531" s="84">
        <f>'MTSP 50% Income Limits '!C31</f>
        <v>53800</v>
      </c>
      <c r="D531" s="84">
        <f>'MTSP 50% Income Limits '!D31</f>
        <v>60550</v>
      </c>
      <c r="E531" s="84">
        <f>'MTSP 50% Income Limits '!E31</f>
        <v>67250</v>
      </c>
      <c r="F531" s="84">
        <f>'MTSP 50% Income Limits '!F31</f>
        <v>72650</v>
      </c>
      <c r="G531" s="84">
        <f>'MTSP 50% Income Limits '!G31</f>
        <v>78050</v>
      </c>
      <c r="H531" s="84">
        <f>'MTSP 50% Income Limits '!H31</f>
        <v>83400</v>
      </c>
      <c r="I531" s="84">
        <f>'MTSP 50% Income Limits '!I31</f>
        <v>88800</v>
      </c>
      <c r="J531" s="83">
        <f>TRUNC(B531/12*0.3)</f>
        <v>1177</v>
      </c>
      <c r="K531" s="83">
        <f>TRUNC((B531+C531)/2/12*0.3)</f>
        <v>1261</v>
      </c>
      <c r="L531" s="83">
        <f>TRUNC((D531)/12*0.3)</f>
        <v>1513</v>
      </c>
      <c r="M531" s="83">
        <f>TRUNC(((E531+F531)/2)/12*0.3)</f>
        <v>1748</v>
      </c>
      <c r="N531" s="83">
        <f>TRUNC(G531/12*0.3)</f>
        <v>1951</v>
      </c>
      <c r="O531" s="83">
        <f>TRUNC(((H531+I531)/2)/12*0.3)</f>
        <v>2152</v>
      </c>
      <c r="P531" s="81"/>
      <c r="Q531" s="81"/>
      <c r="R531" s="81"/>
      <c r="S531" s="81"/>
      <c r="T531" s="81"/>
      <c r="U531" s="81"/>
      <c r="V531" s="81"/>
      <c r="W531" s="81"/>
      <c r="X531" s="81"/>
      <c r="Y531" s="81"/>
      <c r="Z531" s="81"/>
      <c r="AA531" s="81"/>
      <c r="AB531" s="81"/>
      <c r="AC531" s="81"/>
      <c r="AD531" s="81"/>
      <c r="AE531" s="81"/>
      <c r="AF531" s="81"/>
    </row>
    <row r="532" spans="1:32">
      <c r="A532" s="76" t="s">
        <v>1266</v>
      </c>
      <c r="B532" s="79">
        <f>B531*2*0.55</f>
        <v>51810.000000000007</v>
      </c>
      <c r="C532" s="79">
        <f t="shared" ref="C532:I532" si="877">C531*2*0.55</f>
        <v>59180.000000000007</v>
      </c>
      <c r="D532" s="79">
        <f t="shared" si="877"/>
        <v>66605</v>
      </c>
      <c r="E532" s="79">
        <f t="shared" si="877"/>
        <v>73975</v>
      </c>
      <c r="F532" s="79">
        <f t="shared" si="877"/>
        <v>79915</v>
      </c>
      <c r="G532" s="79">
        <f t="shared" si="877"/>
        <v>85855</v>
      </c>
      <c r="H532" s="79">
        <f t="shared" si="877"/>
        <v>91740.000000000015</v>
      </c>
      <c r="I532" s="79">
        <f t="shared" si="877"/>
        <v>97680.000000000015</v>
      </c>
      <c r="J532" s="80">
        <f t="shared" ref="J532:J538" si="878">TRUNC(B532/12*0.3)</f>
        <v>1295</v>
      </c>
      <c r="K532" s="80">
        <f t="shared" ref="K532:K538" si="879">TRUNC((B532+C532)/2/12*0.3)</f>
        <v>1387</v>
      </c>
      <c r="L532" s="80">
        <f t="shared" ref="L532:L538" si="880">TRUNC((D532)/12*0.3)</f>
        <v>1665</v>
      </c>
      <c r="M532" s="80">
        <f t="shared" ref="M532:M538" si="881">TRUNC(((E532+F532)/2)/12*0.3)</f>
        <v>1923</v>
      </c>
      <c r="N532" s="80">
        <f t="shared" ref="N532:N538" si="882">TRUNC(G532/12*0.3)</f>
        <v>2146</v>
      </c>
      <c r="O532" s="80">
        <f t="shared" ref="O532:O538" si="883">TRUNC(((H532+I532)/2)/12*0.3)</f>
        <v>2367</v>
      </c>
      <c r="P532" s="81"/>
      <c r="Q532" s="81"/>
      <c r="R532" s="81"/>
      <c r="S532" s="81"/>
      <c r="T532" s="81"/>
      <c r="U532" s="81"/>
      <c r="V532" s="81"/>
      <c r="W532" s="81"/>
      <c r="X532" s="81"/>
      <c r="Y532" s="81"/>
      <c r="Z532" s="81"/>
      <c r="AA532" s="81"/>
      <c r="AB532" s="81"/>
      <c r="AC532" s="81"/>
      <c r="AD532" s="81"/>
      <c r="AE532" s="81"/>
      <c r="AF532" s="81"/>
    </row>
    <row r="533" spans="1:32">
      <c r="A533" s="76" t="s">
        <v>1267</v>
      </c>
      <c r="B533" s="79">
        <f>B531*2*0.6</f>
        <v>56520</v>
      </c>
      <c r="C533" s="79">
        <f t="shared" ref="C533:I533" si="884">C531*2*0.6</f>
        <v>64560</v>
      </c>
      <c r="D533" s="79">
        <f t="shared" si="884"/>
        <v>72660</v>
      </c>
      <c r="E533" s="79">
        <f t="shared" si="884"/>
        <v>80700</v>
      </c>
      <c r="F533" s="79">
        <f t="shared" si="884"/>
        <v>87180</v>
      </c>
      <c r="G533" s="79">
        <f t="shared" si="884"/>
        <v>93660</v>
      </c>
      <c r="H533" s="79">
        <f t="shared" si="884"/>
        <v>100080</v>
      </c>
      <c r="I533" s="79">
        <f t="shared" si="884"/>
        <v>106560</v>
      </c>
      <c r="J533" s="80">
        <f t="shared" si="878"/>
        <v>1413</v>
      </c>
      <c r="K533" s="80">
        <f t="shared" si="879"/>
        <v>1513</v>
      </c>
      <c r="L533" s="80">
        <f t="shared" si="880"/>
        <v>1816</v>
      </c>
      <c r="M533" s="80">
        <f t="shared" si="881"/>
        <v>2098</v>
      </c>
      <c r="N533" s="80">
        <f t="shared" si="882"/>
        <v>2341</v>
      </c>
      <c r="O533" s="80">
        <f t="shared" si="883"/>
        <v>2583</v>
      </c>
      <c r="P533" s="81"/>
      <c r="Q533" s="81"/>
      <c r="R533" s="81"/>
      <c r="S533" s="81"/>
      <c r="T533" s="81"/>
      <c r="U533" s="81"/>
      <c r="V533" s="81"/>
      <c r="W533" s="81"/>
      <c r="X533" s="81"/>
      <c r="Y533" s="81"/>
      <c r="Z533" s="81"/>
      <c r="AA533" s="81"/>
      <c r="AB533" s="81"/>
      <c r="AC533" s="81"/>
      <c r="AD533" s="81"/>
      <c r="AE533" s="81"/>
      <c r="AF533" s="81"/>
    </row>
    <row r="534" spans="1:32">
      <c r="A534" s="76" t="s">
        <v>1268</v>
      </c>
      <c r="B534" s="79">
        <f>B531*2*0.65</f>
        <v>61230</v>
      </c>
      <c r="C534" s="79">
        <f t="shared" ref="C534:I534" si="885">C531*2*0.65</f>
        <v>69940</v>
      </c>
      <c r="D534" s="79">
        <f t="shared" si="885"/>
        <v>78715</v>
      </c>
      <c r="E534" s="79">
        <f t="shared" si="885"/>
        <v>87425</v>
      </c>
      <c r="F534" s="79">
        <f t="shared" si="885"/>
        <v>94445</v>
      </c>
      <c r="G534" s="79">
        <f t="shared" si="885"/>
        <v>101465</v>
      </c>
      <c r="H534" s="79">
        <f t="shared" si="885"/>
        <v>108420</v>
      </c>
      <c r="I534" s="79">
        <f t="shared" si="885"/>
        <v>115440</v>
      </c>
      <c r="J534" s="80">
        <f t="shared" si="878"/>
        <v>1530</v>
      </c>
      <c r="K534" s="80">
        <f t="shared" si="879"/>
        <v>1639</v>
      </c>
      <c r="L534" s="80">
        <f t="shared" si="880"/>
        <v>1967</v>
      </c>
      <c r="M534" s="80">
        <f t="shared" si="881"/>
        <v>2273</v>
      </c>
      <c r="N534" s="80">
        <f t="shared" si="882"/>
        <v>2536</v>
      </c>
      <c r="O534" s="80">
        <f t="shared" si="883"/>
        <v>2798</v>
      </c>
      <c r="P534" s="81"/>
      <c r="Q534" s="81"/>
      <c r="R534" s="81"/>
      <c r="S534" s="81"/>
      <c r="T534" s="81"/>
      <c r="U534" s="81"/>
      <c r="V534" s="81"/>
      <c r="W534" s="81"/>
      <c r="X534" s="81"/>
      <c r="Y534" s="81"/>
      <c r="Z534" s="81"/>
      <c r="AA534" s="81"/>
      <c r="AB534" s="81"/>
      <c r="AC534" s="81"/>
      <c r="AD534" s="81"/>
      <c r="AE534" s="81"/>
      <c r="AF534" s="81"/>
    </row>
    <row r="535" spans="1:32">
      <c r="A535" s="76" t="s">
        <v>1269</v>
      </c>
      <c r="B535" s="79">
        <f>B531*2*0.7</f>
        <v>65940</v>
      </c>
      <c r="C535" s="79">
        <f t="shared" ref="C535:I535" si="886">C531*2*0.7</f>
        <v>75320</v>
      </c>
      <c r="D535" s="79">
        <f t="shared" si="886"/>
        <v>84770</v>
      </c>
      <c r="E535" s="79">
        <f t="shared" si="886"/>
        <v>94150</v>
      </c>
      <c r="F535" s="79">
        <f t="shared" si="886"/>
        <v>101710</v>
      </c>
      <c r="G535" s="79">
        <f t="shared" si="886"/>
        <v>109270</v>
      </c>
      <c r="H535" s="79">
        <f t="shared" si="886"/>
        <v>116759.99999999999</v>
      </c>
      <c r="I535" s="79">
        <f t="shared" si="886"/>
        <v>124319.99999999999</v>
      </c>
      <c r="J535" s="80">
        <f t="shared" si="878"/>
        <v>1648</v>
      </c>
      <c r="K535" s="80">
        <f t="shared" si="879"/>
        <v>1765</v>
      </c>
      <c r="L535" s="80">
        <f t="shared" si="880"/>
        <v>2119</v>
      </c>
      <c r="M535" s="80">
        <f t="shared" si="881"/>
        <v>2448</v>
      </c>
      <c r="N535" s="80">
        <f t="shared" si="882"/>
        <v>2731</v>
      </c>
      <c r="O535" s="80">
        <f t="shared" si="883"/>
        <v>3013</v>
      </c>
      <c r="P535" s="81"/>
      <c r="Q535" s="81"/>
      <c r="R535" s="81"/>
      <c r="S535" s="81"/>
      <c r="T535" s="81"/>
      <c r="U535" s="81"/>
      <c r="V535" s="81"/>
      <c r="W535" s="81"/>
      <c r="X535" s="81"/>
      <c r="Y535" s="81"/>
      <c r="Z535" s="81"/>
      <c r="AA535" s="81"/>
      <c r="AB535" s="81"/>
      <c r="AC535" s="81"/>
      <c r="AD535" s="81"/>
      <c r="AE535" s="81"/>
      <c r="AF535" s="81"/>
    </row>
    <row r="536" spans="1:32">
      <c r="A536" s="76" t="s">
        <v>1270</v>
      </c>
      <c r="B536" s="79">
        <f>B531*2*0.75</f>
        <v>70650</v>
      </c>
      <c r="C536" s="79">
        <f t="shared" ref="C536:I536" si="887">C531*2*0.75</f>
        <v>80700</v>
      </c>
      <c r="D536" s="79">
        <f t="shared" si="887"/>
        <v>90825</v>
      </c>
      <c r="E536" s="79">
        <f t="shared" si="887"/>
        <v>100875</v>
      </c>
      <c r="F536" s="79">
        <f t="shared" si="887"/>
        <v>108975</v>
      </c>
      <c r="G536" s="79">
        <f t="shared" si="887"/>
        <v>117075</v>
      </c>
      <c r="H536" s="79">
        <f t="shared" si="887"/>
        <v>125100</v>
      </c>
      <c r="I536" s="79">
        <f t="shared" si="887"/>
        <v>133200</v>
      </c>
      <c r="J536" s="80">
        <f t="shared" si="878"/>
        <v>1766</v>
      </c>
      <c r="K536" s="80">
        <f t="shared" si="879"/>
        <v>1891</v>
      </c>
      <c r="L536" s="80">
        <f t="shared" si="880"/>
        <v>2270</v>
      </c>
      <c r="M536" s="80">
        <f t="shared" si="881"/>
        <v>2623</v>
      </c>
      <c r="N536" s="80">
        <f t="shared" si="882"/>
        <v>2926</v>
      </c>
      <c r="O536" s="80">
        <f t="shared" si="883"/>
        <v>3228</v>
      </c>
      <c r="P536" s="81"/>
      <c r="Q536" s="81"/>
      <c r="R536" s="81"/>
      <c r="S536" s="81"/>
      <c r="T536" s="81"/>
      <c r="U536" s="81"/>
      <c r="V536" s="81"/>
      <c r="W536" s="81"/>
      <c r="X536" s="81"/>
      <c r="Y536" s="81"/>
      <c r="Z536" s="81"/>
      <c r="AA536" s="81"/>
      <c r="AB536" s="81"/>
      <c r="AC536" s="81"/>
      <c r="AD536" s="81"/>
      <c r="AE536" s="81"/>
      <c r="AF536" s="81"/>
    </row>
    <row r="537" spans="1:32">
      <c r="A537" s="76" t="s">
        <v>1271</v>
      </c>
      <c r="B537" s="79">
        <f>B531*2*0.8</f>
        <v>75360</v>
      </c>
      <c r="C537" s="79">
        <f t="shared" ref="C537:I537" si="888">C531*2*0.8</f>
        <v>86080</v>
      </c>
      <c r="D537" s="79">
        <f t="shared" si="888"/>
        <v>96880</v>
      </c>
      <c r="E537" s="79">
        <f t="shared" si="888"/>
        <v>107600</v>
      </c>
      <c r="F537" s="79">
        <f t="shared" si="888"/>
        <v>116240</v>
      </c>
      <c r="G537" s="79">
        <f t="shared" si="888"/>
        <v>124880</v>
      </c>
      <c r="H537" s="79">
        <f t="shared" si="888"/>
        <v>133440</v>
      </c>
      <c r="I537" s="79">
        <f t="shared" si="888"/>
        <v>142080</v>
      </c>
      <c r="J537" s="80">
        <f t="shared" si="878"/>
        <v>1884</v>
      </c>
      <c r="K537" s="80">
        <f t="shared" si="879"/>
        <v>2018</v>
      </c>
      <c r="L537" s="80">
        <f t="shared" si="880"/>
        <v>2422</v>
      </c>
      <c r="M537" s="80">
        <f t="shared" si="881"/>
        <v>2798</v>
      </c>
      <c r="N537" s="80">
        <f t="shared" si="882"/>
        <v>3122</v>
      </c>
      <c r="O537" s="80">
        <f t="shared" si="883"/>
        <v>3444</v>
      </c>
      <c r="P537" s="81"/>
      <c r="Q537" s="81"/>
      <c r="R537" s="81"/>
      <c r="S537" s="81"/>
      <c r="T537" s="81"/>
      <c r="U537" s="81"/>
      <c r="V537" s="81"/>
      <c r="W537" s="81"/>
      <c r="X537" s="81"/>
      <c r="Y537" s="81"/>
      <c r="Z537" s="81"/>
      <c r="AA537" s="81"/>
      <c r="AB537" s="81"/>
      <c r="AC537" s="81"/>
      <c r="AD537" s="81"/>
      <c r="AE537" s="81"/>
      <c r="AF537" s="81"/>
    </row>
    <row r="538" spans="1:32">
      <c r="A538" s="76" t="s">
        <v>1272</v>
      </c>
      <c r="B538" s="79">
        <f>B531*2*0.9</f>
        <v>84780</v>
      </c>
      <c r="C538" s="79">
        <f t="shared" ref="C538:I538" si="889">C531*2*0.9</f>
        <v>96840</v>
      </c>
      <c r="D538" s="79">
        <f t="shared" si="889"/>
        <v>108990</v>
      </c>
      <c r="E538" s="79">
        <f t="shared" si="889"/>
        <v>121050</v>
      </c>
      <c r="F538" s="79">
        <f t="shared" si="889"/>
        <v>130770</v>
      </c>
      <c r="G538" s="79">
        <f t="shared" si="889"/>
        <v>140490</v>
      </c>
      <c r="H538" s="79">
        <f t="shared" si="889"/>
        <v>150120</v>
      </c>
      <c r="I538" s="79">
        <f t="shared" si="889"/>
        <v>159840</v>
      </c>
      <c r="J538" s="80">
        <f t="shared" si="878"/>
        <v>2119</v>
      </c>
      <c r="K538" s="80">
        <f t="shared" si="879"/>
        <v>2270</v>
      </c>
      <c r="L538" s="80">
        <f t="shared" si="880"/>
        <v>2724</v>
      </c>
      <c r="M538" s="80">
        <f t="shared" si="881"/>
        <v>3147</v>
      </c>
      <c r="N538" s="80">
        <f t="shared" si="882"/>
        <v>3512</v>
      </c>
      <c r="O538" s="80">
        <f t="shared" si="883"/>
        <v>3874</v>
      </c>
      <c r="P538" s="81"/>
      <c r="Q538" s="81"/>
      <c r="R538" s="81"/>
      <c r="S538" s="81"/>
      <c r="T538" s="81"/>
      <c r="U538" s="81"/>
      <c r="V538" s="81"/>
      <c r="W538" s="81"/>
      <c r="X538" s="81"/>
      <c r="Y538" s="81"/>
      <c r="Z538" s="81"/>
      <c r="AA538" s="81"/>
      <c r="AB538" s="81"/>
      <c r="AC538" s="81"/>
      <c r="AD538" s="81"/>
      <c r="AE538" s="81"/>
      <c r="AF538" s="81"/>
    </row>
    <row r="539" spans="1:32">
      <c r="A539" s="76" t="s">
        <v>1273</v>
      </c>
      <c r="B539" s="79">
        <f>B531*2</f>
        <v>94200</v>
      </c>
      <c r="C539" s="79">
        <f t="shared" ref="C539:I539" si="890">C531*2</f>
        <v>107600</v>
      </c>
      <c r="D539" s="79">
        <f t="shared" si="890"/>
        <v>121100</v>
      </c>
      <c r="E539" s="79">
        <f t="shared" si="890"/>
        <v>134500</v>
      </c>
      <c r="F539" s="79">
        <f t="shared" si="890"/>
        <v>145300</v>
      </c>
      <c r="G539" s="79">
        <f t="shared" si="890"/>
        <v>156100</v>
      </c>
      <c r="H539" s="79">
        <f t="shared" si="890"/>
        <v>166800</v>
      </c>
      <c r="I539" s="79">
        <f t="shared" si="890"/>
        <v>177600</v>
      </c>
      <c r="J539" s="80">
        <f>J531*2</f>
        <v>2354</v>
      </c>
      <c r="K539" s="80">
        <f t="shared" ref="K539:O539" si="891">K531*2</f>
        <v>2522</v>
      </c>
      <c r="L539" s="80">
        <f t="shared" si="891"/>
        <v>3026</v>
      </c>
      <c r="M539" s="80">
        <f t="shared" si="891"/>
        <v>3496</v>
      </c>
      <c r="N539" s="80">
        <f t="shared" si="891"/>
        <v>3902</v>
      </c>
      <c r="O539" s="80">
        <f t="shared" si="891"/>
        <v>4304</v>
      </c>
      <c r="P539" s="81"/>
      <c r="Q539" s="81"/>
      <c r="R539" s="81"/>
      <c r="S539" s="81"/>
      <c r="T539" s="81"/>
      <c r="U539" s="81"/>
      <c r="V539" s="81"/>
      <c r="W539" s="81"/>
      <c r="X539" s="81"/>
      <c r="Y539" s="81"/>
      <c r="Z539" s="81"/>
      <c r="AA539" s="81"/>
      <c r="AB539" s="81"/>
      <c r="AC539" s="81"/>
      <c r="AD539" s="81"/>
      <c r="AE539" s="81"/>
      <c r="AF539" s="81"/>
    </row>
    <row r="540" spans="1:32">
      <c r="A540" s="76" t="s">
        <v>1274</v>
      </c>
      <c r="B540" s="79">
        <f>B531*2*1.1</f>
        <v>103620.00000000001</v>
      </c>
      <c r="C540" s="79">
        <f t="shared" ref="C540:I540" si="892">C531*2*1.1</f>
        <v>118360.00000000001</v>
      </c>
      <c r="D540" s="79">
        <f t="shared" si="892"/>
        <v>133210</v>
      </c>
      <c r="E540" s="79">
        <f t="shared" si="892"/>
        <v>147950</v>
      </c>
      <c r="F540" s="79">
        <f t="shared" si="892"/>
        <v>159830</v>
      </c>
      <c r="G540" s="79">
        <f t="shared" si="892"/>
        <v>171710</v>
      </c>
      <c r="H540" s="79">
        <f t="shared" si="892"/>
        <v>183480.00000000003</v>
      </c>
      <c r="I540" s="79">
        <f t="shared" si="892"/>
        <v>195360.00000000003</v>
      </c>
      <c r="J540" s="80">
        <f t="shared" ref="J540:J548" si="893">TRUNC(B540/12*0.3)</f>
        <v>2590</v>
      </c>
      <c r="K540" s="80">
        <f t="shared" ref="K540:K548" si="894">TRUNC((B540+C540)/2/12*0.3)</f>
        <v>2774</v>
      </c>
      <c r="L540" s="80">
        <f t="shared" ref="L540:L548" si="895">TRUNC((D540)/12*0.3)</f>
        <v>3330</v>
      </c>
      <c r="M540" s="80">
        <f t="shared" ref="M540:M548" si="896">TRUNC(((E540+F540)/2)/12*0.3)</f>
        <v>3847</v>
      </c>
      <c r="N540" s="80">
        <f t="shared" ref="N540:N548" si="897">TRUNC(G540/12*0.3)</f>
        <v>4292</v>
      </c>
      <c r="O540" s="80">
        <f t="shared" ref="O540:O548" si="898">TRUNC(((H540+I540)/2)/12*0.3)</f>
        <v>4735</v>
      </c>
      <c r="P540" s="81"/>
      <c r="Q540" s="81"/>
      <c r="R540" s="81"/>
      <c r="S540" s="81"/>
      <c r="T540" s="81"/>
      <c r="U540" s="81"/>
      <c r="V540" s="81"/>
      <c r="W540" s="81"/>
      <c r="X540" s="81"/>
      <c r="Y540" s="81"/>
      <c r="Z540" s="81"/>
      <c r="AA540" s="81"/>
      <c r="AB540" s="81"/>
      <c r="AC540" s="81"/>
      <c r="AD540" s="81"/>
      <c r="AE540" s="81"/>
      <c r="AF540" s="81"/>
    </row>
    <row r="541" spans="1:32">
      <c r="A541" s="76" t="s">
        <v>1275</v>
      </c>
      <c r="B541" s="79">
        <f>B531*2*1.2</f>
        <v>113040</v>
      </c>
      <c r="C541" s="79">
        <f t="shared" ref="C541:I541" si="899">C531*2*1.2</f>
        <v>129120</v>
      </c>
      <c r="D541" s="79">
        <f t="shared" si="899"/>
        <v>145320</v>
      </c>
      <c r="E541" s="79">
        <f t="shared" si="899"/>
        <v>161400</v>
      </c>
      <c r="F541" s="79">
        <f t="shared" si="899"/>
        <v>174360</v>
      </c>
      <c r="G541" s="79">
        <f t="shared" si="899"/>
        <v>187320</v>
      </c>
      <c r="H541" s="79">
        <f t="shared" si="899"/>
        <v>200160</v>
      </c>
      <c r="I541" s="79">
        <f t="shared" si="899"/>
        <v>213120</v>
      </c>
      <c r="J541" s="80">
        <f t="shared" si="893"/>
        <v>2826</v>
      </c>
      <c r="K541" s="80">
        <f t="shared" si="894"/>
        <v>3027</v>
      </c>
      <c r="L541" s="80">
        <f t="shared" si="895"/>
        <v>3633</v>
      </c>
      <c r="M541" s="80">
        <f t="shared" si="896"/>
        <v>4197</v>
      </c>
      <c r="N541" s="80">
        <f t="shared" si="897"/>
        <v>4683</v>
      </c>
      <c r="O541" s="80">
        <f t="shared" si="898"/>
        <v>5166</v>
      </c>
      <c r="P541" s="81"/>
      <c r="Q541" s="81"/>
      <c r="R541" s="81"/>
      <c r="S541" s="81"/>
      <c r="T541" s="81"/>
      <c r="U541" s="81"/>
      <c r="V541" s="81"/>
      <c r="W541" s="81"/>
      <c r="X541" s="81"/>
      <c r="Y541" s="81"/>
      <c r="Z541" s="81"/>
      <c r="AA541" s="81"/>
      <c r="AB541" s="81"/>
      <c r="AC541" s="81"/>
      <c r="AD541" s="81"/>
      <c r="AE541" s="81"/>
      <c r="AF541" s="81"/>
    </row>
    <row r="542" spans="1:32">
      <c r="A542" s="76" t="s">
        <v>1276</v>
      </c>
      <c r="B542" s="79">
        <f>B549*2*0.15</f>
        <v>9525</v>
      </c>
      <c r="C542" s="79">
        <f>C549*2*0.15</f>
        <v>10875</v>
      </c>
      <c r="D542" s="79">
        <f>D549*2*0.15</f>
        <v>12240</v>
      </c>
      <c r="E542" s="79">
        <f>E549*2*0.15</f>
        <v>13590</v>
      </c>
      <c r="F542" s="79">
        <f>F549*2*0.15</f>
        <v>14685</v>
      </c>
      <c r="G542" s="79">
        <f t="shared" ref="G542:I542" si="900">G549*2*0.15</f>
        <v>15765</v>
      </c>
      <c r="H542" s="79">
        <f t="shared" si="900"/>
        <v>16860</v>
      </c>
      <c r="I542" s="79">
        <f t="shared" si="900"/>
        <v>17940</v>
      </c>
      <c r="J542" s="80">
        <f t="shared" si="893"/>
        <v>238</v>
      </c>
      <c r="K542" s="80">
        <f t="shared" si="894"/>
        <v>255</v>
      </c>
      <c r="L542" s="80">
        <f t="shared" si="895"/>
        <v>306</v>
      </c>
      <c r="M542" s="80">
        <f t="shared" si="896"/>
        <v>353</v>
      </c>
      <c r="N542" s="80">
        <f t="shared" si="897"/>
        <v>394</v>
      </c>
      <c r="O542" s="80">
        <f t="shared" si="898"/>
        <v>435</v>
      </c>
      <c r="P542" s="81"/>
      <c r="Q542" s="81"/>
      <c r="R542" s="81"/>
      <c r="S542" s="81"/>
      <c r="T542" s="81"/>
      <c r="U542" s="81"/>
      <c r="V542" s="81"/>
      <c r="W542" s="81"/>
      <c r="X542" s="81"/>
      <c r="Y542" s="81"/>
      <c r="Z542" s="81"/>
      <c r="AA542" s="81"/>
      <c r="AB542" s="81"/>
      <c r="AC542" s="81"/>
      <c r="AD542" s="81"/>
      <c r="AE542" s="81"/>
      <c r="AF542" s="81"/>
    </row>
    <row r="543" spans="1:32">
      <c r="A543" s="76" t="s">
        <v>1277</v>
      </c>
      <c r="B543" s="79">
        <f>B549*2*0.2</f>
        <v>12700</v>
      </c>
      <c r="C543" s="79">
        <f t="shared" ref="C543:I543" si="901">C549*2*0.2</f>
        <v>14500</v>
      </c>
      <c r="D543" s="79">
        <f t="shared" si="901"/>
        <v>16320</v>
      </c>
      <c r="E543" s="79">
        <f t="shared" si="901"/>
        <v>18120</v>
      </c>
      <c r="F543" s="79">
        <f t="shared" si="901"/>
        <v>19580</v>
      </c>
      <c r="G543" s="79">
        <f t="shared" si="901"/>
        <v>21020</v>
      </c>
      <c r="H543" s="79">
        <f t="shared" si="901"/>
        <v>22480</v>
      </c>
      <c r="I543" s="79">
        <f t="shared" si="901"/>
        <v>23920</v>
      </c>
      <c r="J543" s="80">
        <f t="shared" si="893"/>
        <v>317</v>
      </c>
      <c r="K543" s="80">
        <f t="shared" si="894"/>
        <v>340</v>
      </c>
      <c r="L543" s="80">
        <f t="shared" si="895"/>
        <v>408</v>
      </c>
      <c r="M543" s="80">
        <f t="shared" si="896"/>
        <v>471</v>
      </c>
      <c r="N543" s="80">
        <f t="shared" si="897"/>
        <v>525</v>
      </c>
      <c r="O543" s="80">
        <f t="shared" si="898"/>
        <v>580</v>
      </c>
      <c r="P543" s="81"/>
      <c r="Q543" s="81"/>
      <c r="R543" s="81"/>
      <c r="S543" s="81"/>
      <c r="T543" s="81"/>
      <c r="U543" s="81"/>
      <c r="V543" s="81"/>
      <c r="W543" s="81"/>
      <c r="X543" s="81"/>
      <c r="Y543" s="81"/>
      <c r="Z543" s="81"/>
      <c r="AA543" s="81"/>
      <c r="AB543" s="81"/>
      <c r="AC543" s="81"/>
      <c r="AD543" s="81"/>
      <c r="AE543" s="81"/>
      <c r="AF543" s="81"/>
    </row>
    <row r="544" spans="1:32">
      <c r="A544" s="76" t="s">
        <v>1278</v>
      </c>
      <c r="B544" s="79">
        <f>B549*2*0.25</f>
        <v>15875</v>
      </c>
      <c r="C544" s="79">
        <f t="shared" ref="C544:I544" si="902">C549*2*0.25</f>
        <v>18125</v>
      </c>
      <c r="D544" s="79">
        <f t="shared" si="902"/>
        <v>20400</v>
      </c>
      <c r="E544" s="79">
        <f t="shared" si="902"/>
        <v>22650</v>
      </c>
      <c r="F544" s="79">
        <f t="shared" si="902"/>
        <v>24475</v>
      </c>
      <c r="G544" s="79">
        <f t="shared" si="902"/>
        <v>26275</v>
      </c>
      <c r="H544" s="79">
        <f t="shared" si="902"/>
        <v>28100</v>
      </c>
      <c r="I544" s="79">
        <f t="shared" si="902"/>
        <v>29900</v>
      </c>
      <c r="J544" s="80">
        <f t="shared" si="893"/>
        <v>396</v>
      </c>
      <c r="K544" s="80">
        <f t="shared" si="894"/>
        <v>425</v>
      </c>
      <c r="L544" s="80">
        <f t="shared" si="895"/>
        <v>510</v>
      </c>
      <c r="M544" s="80">
        <f t="shared" si="896"/>
        <v>589</v>
      </c>
      <c r="N544" s="80">
        <f t="shared" si="897"/>
        <v>656</v>
      </c>
      <c r="O544" s="80">
        <f t="shared" si="898"/>
        <v>725</v>
      </c>
      <c r="P544" s="81"/>
      <c r="Q544" s="81"/>
      <c r="R544" s="81"/>
      <c r="S544" s="81"/>
      <c r="T544" s="81"/>
      <c r="U544" s="81"/>
      <c r="V544" s="81"/>
      <c r="W544" s="81"/>
      <c r="X544" s="81"/>
      <c r="Y544" s="81"/>
      <c r="Z544" s="81"/>
      <c r="AA544" s="81"/>
      <c r="AB544" s="81"/>
      <c r="AC544" s="81"/>
      <c r="AD544" s="81"/>
      <c r="AE544" s="81"/>
      <c r="AF544" s="81"/>
    </row>
    <row r="545" spans="1:32">
      <c r="A545" s="76" t="s">
        <v>1279</v>
      </c>
      <c r="B545" s="79">
        <f>B549*2*0.3</f>
        <v>19050</v>
      </c>
      <c r="C545" s="79">
        <f t="shared" ref="C545:I545" si="903">C549*2*0.3</f>
        <v>21750</v>
      </c>
      <c r="D545" s="79">
        <f t="shared" si="903"/>
        <v>24480</v>
      </c>
      <c r="E545" s="79">
        <f t="shared" si="903"/>
        <v>27180</v>
      </c>
      <c r="F545" s="79">
        <f t="shared" si="903"/>
        <v>29370</v>
      </c>
      <c r="G545" s="79">
        <f t="shared" si="903"/>
        <v>31530</v>
      </c>
      <c r="H545" s="79">
        <f t="shared" si="903"/>
        <v>33720</v>
      </c>
      <c r="I545" s="79">
        <f t="shared" si="903"/>
        <v>35880</v>
      </c>
      <c r="J545" s="80">
        <f t="shared" si="893"/>
        <v>476</v>
      </c>
      <c r="K545" s="80">
        <f t="shared" si="894"/>
        <v>510</v>
      </c>
      <c r="L545" s="80">
        <f t="shared" si="895"/>
        <v>612</v>
      </c>
      <c r="M545" s="80">
        <f t="shared" si="896"/>
        <v>706</v>
      </c>
      <c r="N545" s="80">
        <f t="shared" si="897"/>
        <v>788</v>
      </c>
      <c r="O545" s="80">
        <f t="shared" si="898"/>
        <v>870</v>
      </c>
      <c r="P545" s="81"/>
      <c r="Q545" s="81"/>
      <c r="R545" s="81"/>
      <c r="S545" s="81"/>
      <c r="T545" s="81"/>
      <c r="U545" s="81"/>
      <c r="V545" s="81"/>
      <c r="W545" s="81"/>
      <c r="X545" s="81"/>
      <c r="Y545" s="81"/>
      <c r="Z545" s="81"/>
      <c r="AA545" s="81"/>
      <c r="AB545" s="81"/>
      <c r="AC545" s="81"/>
      <c r="AD545" s="81"/>
      <c r="AE545" s="81"/>
      <c r="AF545" s="81"/>
    </row>
    <row r="546" spans="1:32">
      <c r="A546" s="76" t="s">
        <v>1280</v>
      </c>
      <c r="B546" s="79">
        <f>B549*2*0.35</f>
        <v>22225</v>
      </c>
      <c r="C546" s="79">
        <f t="shared" ref="C546:I546" si="904">C549*2*0.35</f>
        <v>25375</v>
      </c>
      <c r="D546" s="79">
        <f t="shared" si="904"/>
        <v>28560</v>
      </c>
      <c r="E546" s="79">
        <f t="shared" si="904"/>
        <v>31709.999999999996</v>
      </c>
      <c r="F546" s="79">
        <f t="shared" si="904"/>
        <v>34265</v>
      </c>
      <c r="G546" s="79">
        <f t="shared" si="904"/>
        <v>36785</v>
      </c>
      <c r="H546" s="79">
        <f t="shared" si="904"/>
        <v>39340</v>
      </c>
      <c r="I546" s="79">
        <f t="shared" si="904"/>
        <v>41860</v>
      </c>
      <c r="J546" s="80">
        <f t="shared" si="893"/>
        <v>555</v>
      </c>
      <c r="K546" s="80">
        <f t="shared" si="894"/>
        <v>595</v>
      </c>
      <c r="L546" s="80">
        <f t="shared" si="895"/>
        <v>714</v>
      </c>
      <c r="M546" s="80">
        <f t="shared" si="896"/>
        <v>824</v>
      </c>
      <c r="N546" s="80">
        <f t="shared" si="897"/>
        <v>919</v>
      </c>
      <c r="O546" s="80">
        <f t="shared" si="898"/>
        <v>1015</v>
      </c>
      <c r="P546" s="81"/>
      <c r="Q546" s="81"/>
      <c r="R546" s="81"/>
      <c r="S546" s="81"/>
      <c r="T546" s="81"/>
      <c r="U546" s="81"/>
      <c r="V546" s="81"/>
      <c r="W546" s="81"/>
      <c r="X546" s="81"/>
      <c r="Y546" s="81"/>
      <c r="Z546" s="81"/>
      <c r="AA546" s="81"/>
      <c r="AB546" s="81"/>
      <c r="AC546" s="81"/>
      <c r="AD546" s="81"/>
      <c r="AE546" s="81"/>
      <c r="AF546" s="81"/>
    </row>
    <row r="547" spans="1:32">
      <c r="A547" s="76" t="s">
        <v>1281</v>
      </c>
      <c r="B547" s="79">
        <f>B549*2*0.4</f>
        <v>25400</v>
      </c>
      <c r="C547" s="79">
        <f t="shared" ref="C547:I547" si="905">C549*2*0.4</f>
        <v>29000</v>
      </c>
      <c r="D547" s="79">
        <f t="shared" si="905"/>
        <v>32640</v>
      </c>
      <c r="E547" s="79">
        <f t="shared" si="905"/>
        <v>36240</v>
      </c>
      <c r="F547" s="79">
        <f t="shared" si="905"/>
        <v>39160</v>
      </c>
      <c r="G547" s="79">
        <f t="shared" si="905"/>
        <v>42040</v>
      </c>
      <c r="H547" s="79">
        <f t="shared" si="905"/>
        <v>44960</v>
      </c>
      <c r="I547" s="79">
        <f t="shared" si="905"/>
        <v>47840</v>
      </c>
      <c r="J547" s="80">
        <f t="shared" si="893"/>
        <v>635</v>
      </c>
      <c r="K547" s="80">
        <f t="shared" si="894"/>
        <v>680</v>
      </c>
      <c r="L547" s="80">
        <f t="shared" si="895"/>
        <v>816</v>
      </c>
      <c r="M547" s="80">
        <f t="shared" si="896"/>
        <v>942</v>
      </c>
      <c r="N547" s="80">
        <f t="shared" si="897"/>
        <v>1051</v>
      </c>
      <c r="O547" s="80">
        <f t="shared" si="898"/>
        <v>1160</v>
      </c>
      <c r="P547" s="81"/>
      <c r="Q547" s="81"/>
      <c r="R547" s="81"/>
      <c r="S547" s="81"/>
      <c r="T547" s="81"/>
      <c r="U547" s="81"/>
      <c r="V547" s="81"/>
      <c r="W547" s="81"/>
      <c r="X547" s="81"/>
      <c r="Y547" s="81"/>
      <c r="Z547" s="81"/>
      <c r="AA547" s="81"/>
      <c r="AB547" s="81"/>
      <c r="AC547" s="81"/>
      <c r="AD547" s="81"/>
      <c r="AE547" s="81"/>
      <c r="AF547" s="81"/>
    </row>
    <row r="548" spans="1:32">
      <c r="A548" s="76" t="s">
        <v>1282</v>
      </c>
      <c r="B548" s="79">
        <f>B549*2*0.45</f>
        <v>28575</v>
      </c>
      <c r="C548" s="79">
        <f t="shared" ref="C548:I548" si="906">C549*2*0.45</f>
        <v>32625</v>
      </c>
      <c r="D548" s="79">
        <f t="shared" si="906"/>
        <v>36720</v>
      </c>
      <c r="E548" s="79">
        <f t="shared" si="906"/>
        <v>40770</v>
      </c>
      <c r="F548" s="79">
        <f t="shared" si="906"/>
        <v>44055</v>
      </c>
      <c r="G548" s="79">
        <f t="shared" si="906"/>
        <v>47295</v>
      </c>
      <c r="H548" s="79">
        <f t="shared" si="906"/>
        <v>50580</v>
      </c>
      <c r="I548" s="79">
        <f t="shared" si="906"/>
        <v>53820</v>
      </c>
      <c r="J548" s="80">
        <f t="shared" si="893"/>
        <v>714</v>
      </c>
      <c r="K548" s="80">
        <f t="shared" si="894"/>
        <v>765</v>
      </c>
      <c r="L548" s="80">
        <f t="shared" si="895"/>
        <v>918</v>
      </c>
      <c r="M548" s="80">
        <f t="shared" si="896"/>
        <v>1060</v>
      </c>
      <c r="N548" s="80">
        <f t="shared" si="897"/>
        <v>1182</v>
      </c>
      <c r="O548" s="80">
        <f t="shared" si="898"/>
        <v>1305</v>
      </c>
      <c r="P548" s="81"/>
      <c r="Q548" s="81"/>
      <c r="R548" s="81"/>
      <c r="S548" s="81"/>
      <c r="T548" s="81"/>
      <c r="U548" s="81"/>
      <c r="V548" s="81"/>
      <c r="W548" s="81"/>
      <c r="X548" s="81"/>
      <c r="Y548" s="81"/>
      <c r="Z548" s="81"/>
      <c r="AA548" s="81"/>
      <c r="AB548" s="81"/>
      <c r="AC548" s="81"/>
      <c r="AD548" s="81"/>
      <c r="AE548" s="81"/>
      <c r="AF548" s="81"/>
    </row>
    <row r="549" spans="1:32">
      <c r="A549" s="82" t="s">
        <v>1283</v>
      </c>
      <c r="B549" s="84">
        <f>'MTSP 50% Income Limits '!B32</f>
        <v>31750</v>
      </c>
      <c r="C549" s="84">
        <f>'MTSP 50% Income Limits '!C32</f>
        <v>36250</v>
      </c>
      <c r="D549" s="84">
        <f>'MTSP 50% Income Limits '!D32</f>
        <v>40800</v>
      </c>
      <c r="E549" s="84">
        <f>'MTSP 50% Income Limits '!E32</f>
        <v>45300</v>
      </c>
      <c r="F549" s="84">
        <f>'MTSP 50% Income Limits '!F32</f>
        <v>48950</v>
      </c>
      <c r="G549" s="84">
        <f>'MTSP 50% Income Limits '!G32</f>
        <v>52550</v>
      </c>
      <c r="H549" s="84">
        <f>'MTSP 50% Income Limits '!H32</f>
        <v>56200</v>
      </c>
      <c r="I549" s="84">
        <f>'MTSP 50% Income Limits '!I32</f>
        <v>59800</v>
      </c>
      <c r="J549" s="83">
        <f>TRUNC(B549/12*0.3)</f>
        <v>793</v>
      </c>
      <c r="K549" s="83">
        <f>TRUNC((B549+C549)/2/12*0.3)</f>
        <v>850</v>
      </c>
      <c r="L549" s="83">
        <f>TRUNC((D549)/12*0.3)</f>
        <v>1020</v>
      </c>
      <c r="M549" s="83">
        <f>TRUNC(((E549+F549)/2)/12*0.3)</f>
        <v>1178</v>
      </c>
      <c r="N549" s="83">
        <f>TRUNC(G549/12*0.3)</f>
        <v>1313</v>
      </c>
      <c r="O549" s="83">
        <f>TRUNC(((H549+I549)/2)/12*0.3)</f>
        <v>1450</v>
      </c>
      <c r="P549" s="81"/>
      <c r="Q549" s="81"/>
      <c r="R549" s="81"/>
      <c r="S549" s="81"/>
      <c r="T549" s="81"/>
      <c r="U549" s="81"/>
      <c r="V549" s="81"/>
      <c r="W549" s="81"/>
      <c r="X549" s="81"/>
      <c r="Y549" s="81"/>
      <c r="Z549" s="81"/>
      <c r="AA549" s="81"/>
      <c r="AB549" s="81"/>
      <c r="AC549" s="81"/>
      <c r="AD549" s="81"/>
      <c r="AE549" s="81"/>
      <c r="AF549" s="81"/>
    </row>
    <row r="550" spans="1:32">
      <c r="A550" s="76" t="s">
        <v>1284</v>
      </c>
      <c r="B550" s="79">
        <f>B549*2*0.55</f>
        <v>34925</v>
      </c>
      <c r="C550" s="79">
        <f t="shared" ref="C550:I550" si="907">C549*2*0.55</f>
        <v>39875</v>
      </c>
      <c r="D550" s="79">
        <f t="shared" si="907"/>
        <v>44880</v>
      </c>
      <c r="E550" s="79">
        <f t="shared" si="907"/>
        <v>49830.000000000007</v>
      </c>
      <c r="F550" s="79">
        <f t="shared" si="907"/>
        <v>53845.000000000007</v>
      </c>
      <c r="G550" s="79">
        <f t="shared" si="907"/>
        <v>57805.000000000007</v>
      </c>
      <c r="H550" s="79">
        <f t="shared" si="907"/>
        <v>61820.000000000007</v>
      </c>
      <c r="I550" s="79">
        <f t="shared" si="907"/>
        <v>65780</v>
      </c>
      <c r="J550" s="80">
        <f t="shared" ref="J550:J556" si="908">TRUNC(B550/12*0.3)</f>
        <v>873</v>
      </c>
      <c r="K550" s="80">
        <f t="shared" ref="K550:K556" si="909">TRUNC((B550+C550)/2/12*0.3)</f>
        <v>935</v>
      </c>
      <c r="L550" s="80">
        <f t="shared" ref="L550:L556" si="910">TRUNC((D550)/12*0.3)</f>
        <v>1122</v>
      </c>
      <c r="M550" s="80">
        <f t="shared" ref="M550:M556" si="911">TRUNC(((E550+F550)/2)/12*0.3)</f>
        <v>1295</v>
      </c>
      <c r="N550" s="80">
        <f t="shared" ref="N550:N556" si="912">TRUNC(G550/12*0.3)</f>
        <v>1445</v>
      </c>
      <c r="O550" s="80">
        <f t="shared" ref="O550:O556" si="913">TRUNC(((H550+I550)/2)/12*0.3)</f>
        <v>1595</v>
      </c>
      <c r="P550" s="81"/>
      <c r="Q550" s="81"/>
      <c r="R550" s="81"/>
      <c r="S550" s="81"/>
      <c r="T550" s="81"/>
      <c r="U550" s="81"/>
      <c r="V550" s="81"/>
      <c r="W550" s="81"/>
      <c r="X550" s="81"/>
      <c r="Y550" s="81"/>
      <c r="Z550" s="81"/>
      <c r="AA550" s="81"/>
      <c r="AB550" s="81"/>
      <c r="AC550" s="81"/>
      <c r="AD550" s="81"/>
      <c r="AE550" s="81"/>
      <c r="AF550" s="81"/>
    </row>
    <row r="551" spans="1:32">
      <c r="A551" s="76" t="s">
        <v>1285</v>
      </c>
      <c r="B551" s="79">
        <f>B549*2*0.6</f>
        <v>38100</v>
      </c>
      <c r="C551" s="79">
        <f t="shared" ref="C551:I551" si="914">C549*2*0.6</f>
        <v>43500</v>
      </c>
      <c r="D551" s="79">
        <f t="shared" si="914"/>
        <v>48960</v>
      </c>
      <c r="E551" s="79">
        <f t="shared" si="914"/>
        <v>54360</v>
      </c>
      <c r="F551" s="79">
        <f t="shared" si="914"/>
        <v>58740</v>
      </c>
      <c r="G551" s="79">
        <f t="shared" si="914"/>
        <v>63060</v>
      </c>
      <c r="H551" s="79">
        <f t="shared" si="914"/>
        <v>67440</v>
      </c>
      <c r="I551" s="79">
        <f t="shared" si="914"/>
        <v>71760</v>
      </c>
      <c r="J551" s="80">
        <f t="shared" si="908"/>
        <v>952</v>
      </c>
      <c r="K551" s="80">
        <f t="shared" si="909"/>
        <v>1020</v>
      </c>
      <c r="L551" s="80">
        <f t="shared" si="910"/>
        <v>1224</v>
      </c>
      <c r="M551" s="80">
        <f t="shared" si="911"/>
        <v>1413</v>
      </c>
      <c r="N551" s="80">
        <f t="shared" si="912"/>
        <v>1576</v>
      </c>
      <c r="O551" s="80">
        <f t="shared" si="913"/>
        <v>1740</v>
      </c>
      <c r="P551" s="81"/>
      <c r="Q551" s="81"/>
      <c r="R551" s="81"/>
      <c r="S551" s="81"/>
      <c r="T551" s="81"/>
      <c r="U551" s="81"/>
      <c r="V551" s="81"/>
      <c r="W551" s="81"/>
      <c r="X551" s="81"/>
      <c r="Y551" s="81"/>
      <c r="Z551" s="81"/>
      <c r="AA551" s="81"/>
      <c r="AB551" s="81"/>
      <c r="AC551" s="81"/>
      <c r="AD551" s="81"/>
      <c r="AE551" s="81"/>
      <c r="AF551" s="81"/>
    </row>
    <row r="552" spans="1:32">
      <c r="A552" s="76" t="s">
        <v>1286</v>
      </c>
      <c r="B552" s="79">
        <f>B549*2*0.65</f>
        <v>41275</v>
      </c>
      <c r="C552" s="79">
        <f t="shared" ref="C552:I552" si="915">C549*2*0.65</f>
        <v>47125</v>
      </c>
      <c r="D552" s="79">
        <f t="shared" si="915"/>
        <v>53040</v>
      </c>
      <c r="E552" s="79">
        <f t="shared" si="915"/>
        <v>58890</v>
      </c>
      <c r="F552" s="79">
        <f t="shared" si="915"/>
        <v>63635</v>
      </c>
      <c r="G552" s="79">
        <f t="shared" si="915"/>
        <v>68315</v>
      </c>
      <c r="H552" s="79">
        <f t="shared" si="915"/>
        <v>73060</v>
      </c>
      <c r="I552" s="79">
        <f t="shared" si="915"/>
        <v>77740</v>
      </c>
      <c r="J552" s="80">
        <f t="shared" si="908"/>
        <v>1031</v>
      </c>
      <c r="K552" s="80">
        <f t="shared" si="909"/>
        <v>1105</v>
      </c>
      <c r="L552" s="80">
        <f t="shared" si="910"/>
        <v>1326</v>
      </c>
      <c r="M552" s="80">
        <f t="shared" si="911"/>
        <v>1531</v>
      </c>
      <c r="N552" s="80">
        <f t="shared" si="912"/>
        <v>1707</v>
      </c>
      <c r="O552" s="80">
        <f t="shared" si="913"/>
        <v>1885</v>
      </c>
      <c r="P552" s="81"/>
      <c r="Q552" s="81"/>
      <c r="R552" s="81"/>
      <c r="S552" s="81"/>
      <c r="T552" s="81"/>
      <c r="U552" s="81"/>
      <c r="V552" s="81"/>
      <c r="W552" s="81"/>
      <c r="X552" s="81"/>
      <c r="Y552" s="81"/>
      <c r="Z552" s="81"/>
      <c r="AA552" s="81"/>
      <c r="AB552" s="81"/>
      <c r="AC552" s="81"/>
      <c r="AD552" s="81"/>
      <c r="AE552" s="81"/>
      <c r="AF552" s="81"/>
    </row>
    <row r="553" spans="1:32">
      <c r="A553" s="76" t="s">
        <v>1287</v>
      </c>
      <c r="B553" s="79">
        <f>B549*2*0.7</f>
        <v>44450</v>
      </c>
      <c r="C553" s="79">
        <f t="shared" ref="C553:I553" si="916">C549*2*0.7</f>
        <v>50750</v>
      </c>
      <c r="D553" s="79">
        <f t="shared" si="916"/>
        <v>57120</v>
      </c>
      <c r="E553" s="79">
        <f t="shared" si="916"/>
        <v>63419.999999999993</v>
      </c>
      <c r="F553" s="79">
        <f t="shared" si="916"/>
        <v>68530</v>
      </c>
      <c r="G553" s="79">
        <f t="shared" si="916"/>
        <v>73570</v>
      </c>
      <c r="H553" s="79">
        <f t="shared" si="916"/>
        <v>78680</v>
      </c>
      <c r="I553" s="79">
        <f t="shared" si="916"/>
        <v>83720</v>
      </c>
      <c r="J553" s="80">
        <f t="shared" si="908"/>
        <v>1111</v>
      </c>
      <c r="K553" s="80">
        <f t="shared" si="909"/>
        <v>1190</v>
      </c>
      <c r="L553" s="80">
        <f t="shared" si="910"/>
        <v>1428</v>
      </c>
      <c r="M553" s="80">
        <f t="shared" si="911"/>
        <v>1649</v>
      </c>
      <c r="N553" s="80">
        <f t="shared" si="912"/>
        <v>1839</v>
      </c>
      <c r="O553" s="80">
        <f t="shared" si="913"/>
        <v>2030</v>
      </c>
      <c r="P553" s="81"/>
      <c r="Q553" s="81"/>
      <c r="R553" s="81"/>
      <c r="S553" s="81"/>
      <c r="T553" s="81"/>
      <c r="U553" s="81"/>
      <c r="V553" s="81"/>
      <c r="W553" s="81"/>
      <c r="X553" s="81"/>
      <c r="Y553" s="81"/>
      <c r="Z553" s="81"/>
      <c r="AA553" s="81"/>
      <c r="AB553" s="81"/>
      <c r="AC553" s="81"/>
      <c r="AD553" s="81"/>
      <c r="AE553" s="81"/>
      <c r="AF553" s="81"/>
    </row>
    <row r="554" spans="1:32">
      <c r="A554" s="76" t="s">
        <v>1288</v>
      </c>
      <c r="B554" s="79">
        <f>B549*2*0.75</f>
        <v>47625</v>
      </c>
      <c r="C554" s="79">
        <f t="shared" ref="C554:I554" si="917">C549*2*0.75</f>
        <v>54375</v>
      </c>
      <c r="D554" s="79">
        <f t="shared" si="917"/>
        <v>61200</v>
      </c>
      <c r="E554" s="79">
        <f t="shared" si="917"/>
        <v>67950</v>
      </c>
      <c r="F554" s="79">
        <f t="shared" si="917"/>
        <v>73425</v>
      </c>
      <c r="G554" s="79">
        <f t="shared" si="917"/>
        <v>78825</v>
      </c>
      <c r="H554" s="79">
        <f t="shared" si="917"/>
        <v>84300</v>
      </c>
      <c r="I554" s="79">
        <f t="shared" si="917"/>
        <v>89700</v>
      </c>
      <c r="J554" s="80">
        <f t="shared" si="908"/>
        <v>1190</v>
      </c>
      <c r="K554" s="80">
        <f t="shared" si="909"/>
        <v>1275</v>
      </c>
      <c r="L554" s="80">
        <f t="shared" si="910"/>
        <v>1530</v>
      </c>
      <c r="M554" s="80">
        <f t="shared" si="911"/>
        <v>1767</v>
      </c>
      <c r="N554" s="80">
        <f t="shared" si="912"/>
        <v>1970</v>
      </c>
      <c r="O554" s="80">
        <f t="shared" si="913"/>
        <v>2175</v>
      </c>
      <c r="P554" s="81"/>
      <c r="Q554" s="81"/>
      <c r="R554" s="81"/>
      <c r="S554" s="81"/>
      <c r="T554" s="81"/>
      <c r="U554" s="81"/>
      <c r="V554" s="81"/>
      <c r="W554" s="81"/>
      <c r="X554" s="81"/>
      <c r="Y554" s="81"/>
      <c r="Z554" s="81"/>
      <c r="AA554" s="81"/>
      <c r="AB554" s="81"/>
      <c r="AC554" s="81"/>
      <c r="AD554" s="81"/>
      <c r="AE554" s="81"/>
      <c r="AF554" s="81"/>
    </row>
    <row r="555" spans="1:32">
      <c r="A555" s="76" t="s">
        <v>1289</v>
      </c>
      <c r="B555" s="79">
        <f>B549*2*0.8</f>
        <v>50800</v>
      </c>
      <c r="C555" s="79">
        <f t="shared" ref="C555:I555" si="918">C549*2*0.8</f>
        <v>58000</v>
      </c>
      <c r="D555" s="79">
        <f t="shared" si="918"/>
        <v>65280</v>
      </c>
      <c r="E555" s="79">
        <f t="shared" si="918"/>
        <v>72480</v>
      </c>
      <c r="F555" s="79">
        <f t="shared" si="918"/>
        <v>78320</v>
      </c>
      <c r="G555" s="79">
        <f t="shared" si="918"/>
        <v>84080</v>
      </c>
      <c r="H555" s="79">
        <f t="shared" si="918"/>
        <v>89920</v>
      </c>
      <c r="I555" s="79">
        <f t="shared" si="918"/>
        <v>95680</v>
      </c>
      <c r="J555" s="80">
        <f t="shared" si="908"/>
        <v>1270</v>
      </c>
      <c r="K555" s="80">
        <f t="shared" si="909"/>
        <v>1360</v>
      </c>
      <c r="L555" s="80">
        <f t="shared" si="910"/>
        <v>1632</v>
      </c>
      <c r="M555" s="80">
        <f t="shared" si="911"/>
        <v>1885</v>
      </c>
      <c r="N555" s="80">
        <f t="shared" si="912"/>
        <v>2102</v>
      </c>
      <c r="O555" s="80">
        <f t="shared" si="913"/>
        <v>2320</v>
      </c>
      <c r="P555" s="81"/>
      <c r="Q555" s="81"/>
      <c r="R555" s="81"/>
      <c r="S555" s="81"/>
      <c r="T555" s="81"/>
      <c r="U555" s="81"/>
      <c r="V555" s="81"/>
      <c r="W555" s="81"/>
      <c r="X555" s="81"/>
      <c r="Y555" s="81"/>
      <c r="Z555" s="81"/>
      <c r="AA555" s="81"/>
      <c r="AB555" s="81"/>
      <c r="AC555" s="81"/>
      <c r="AD555" s="81"/>
      <c r="AE555" s="81"/>
      <c r="AF555" s="81"/>
    </row>
    <row r="556" spans="1:32">
      <c r="A556" s="76" t="s">
        <v>1290</v>
      </c>
      <c r="B556" s="79">
        <f>B549*2*0.9</f>
        <v>57150</v>
      </c>
      <c r="C556" s="79">
        <f t="shared" ref="C556:I556" si="919">C549*2*0.9</f>
        <v>65250</v>
      </c>
      <c r="D556" s="79">
        <f t="shared" si="919"/>
        <v>73440</v>
      </c>
      <c r="E556" s="79">
        <f t="shared" si="919"/>
        <v>81540</v>
      </c>
      <c r="F556" s="79">
        <f t="shared" si="919"/>
        <v>88110</v>
      </c>
      <c r="G556" s="79">
        <f t="shared" si="919"/>
        <v>94590</v>
      </c>
      <c r="H556" s="79">
        <f t="shared" si="919"/>
        <v>101160</v>
      </c>
      <c r="I556" s="79">
        <f t="shared" si="919"/>
        <v>107640</v>
      </c>
      <c r="J556" s="80">
        <f t="shared" si="908"/>
        <v>1428</v>
      </c>
      <c r="K556" s="80">
        <f t="shared" si="909"/>
        <v>1530</v>
      </c>
      <c r="L556" s="80">
        <f t="shared" si="910"/>
        <v>1836</v>
      </c>
      <c r="M556" s="80">
        <f t="shared" si="911"/>
        <v>2120</v>
      </c>
      <c r="N556" s="80">
        <f t="shared" si="912"/>
        <v>2364</v>
      </c>
      <c r="O556" s="80">
        <f t="shared" si="913"/>
        <v>2610</v>
      </c>
      <c r="P556" s="81"/>
      <c r="Q556" s="81"/>
      <c r="R556" s="81"/>
      <c r="S556" s="81"/>
      <c r="T556" s="81"/>
      <c r="U556" s="81"/>
      <c r="V556" s="81"/>
      <c r="W556" s="81"/>
      <c r="X556" s="81"/>
      <c r="Y556" s="81"/>
      <c r="Z556" s="81"/>
      <c r="AA556" s="81"/>
      <c r="AB556" s="81"/>
      <c r="AC556" s="81"/>
      <c r="AD556" s="81"/>
      <c r="AE556" s="81"/>
      <c r="AF556" s="81"/>
    </row>
    <row r="557" spans="1:32">
      <c r="A557" s="76" t="s">
        <v>1291</v>
      </c>
      <c r="B557" s="79">
        <f>B549*2</f>
        <v>63500</v>
      </c>
      <c r="C557" s="79">
        <f t="shared" ref="C557:I557" si="920">C549*2</f>
        <v>72500</v>
      </c>
      <c r="D557" s="79">
        <f t="shared" si="920"/>
        <v>81600</v>
      </c>
      <c r="E557" s="79">
        <f t="shared" si="920"/>
        <v>90600</v>
      </c>
      <c r="F557" s="79">
        <f t="shared" si="920"/>
        <v>97900</v>
      </c>
      <c r="G557" s="79">
        <f t="shared" si="920"/>
        <v>105100</v>
      </c>
      <c r="H557" s="79">
        <f t="shared" si="920"/>
        <v>112400</v>
      </c>
      <c r="I557" s="79">
        <f t="shared" si="920"/>
        <v>119600</v>
      </c>
      <c r="J557" s="80">
        <f>J549*2</f>
        <v>1586</v>
      </c>
      <c r="K557" s="80">
        <f t="shared" ref="K557:O557" si="921">K549*2</f>
        <v>1700</v>
      </c>
      <c r="L557" s="80">
        <f t="shared" si="921"/>
        <v>2040</v>
      </c>
      <c r="M557" s="80">
        <f t="shared" si="921"/>
        <v>2356</v>
      </c>
      <c r="N557" s="80">
        <f t="shared" si="921"/>
        <v>2626</v>
      </c>
      <c r="O557" s="80">
        <f t="shared" si="921"/>
        <v>2900</v>
      </c>
      <c r="P557" s="81"/>
      <c r="Q557" s="81"/>
      <c r="R557" s="81"/>
      <c r="S557" s="81"/>
      <c r="T557" s="81"/>
      <c r="U557" s="81"/>
      <c r="V557" s="81"/>
      <c r="W557" s="81"/>
      <c r="X557" s="81"/>
      <c r="Y557" s="81"/>
      <c r="Z557" s="81"/>
      <c r="AA557" s="81"/>
      <c r="AB557" s="81"/>
      <c r="AC557" s="81"/>
      <c r="AD557" s="81"/>
      <c r="AE557" s="81"/>
      <c r="AF557" s="81"/>
    </row>
    <row r="558" spans="1:32">
      <c r="A558" s="76" t="s">
        <v>1292</v>
      </c>
      <c r="B558" s="79">
        <f>B549*2*1.1</f>
        <v>69850</v>
      </c>
      <c r="C558" s="79">
        <f t="shared" ref="C558:I558" si="922">C549*2*1.1</f>
        <v>79750</v>
      </c>
      <c r="D558" s="79">
        <f t="shared" si="922"/>
        <v>89760</v>
      </c>
      <c r="E558" s="79">
        <f t="shared" si="922"/>
        <v>99660.000000000015</v>
      </c>
      <c r="F558" s="79">
        <f t="shared" si="922"/>
        <v>107690.00000000001</v>
      </c>
      <c r="G558" s="79">
        <f t="shared" si="922"/>
        <v>115610.00000000001</v>
      </c>
      <c r="H558" s="79">
        <f t="shared" si="922"/>
        <v>123640.00000000001</v>
      </c>
      <c r="I558" s="79">
        <f t="shared" si="922"/>
        <v>131560</v>
      </c>
      <c r="J558" s="80">
        <f t="shared" ref="J558:J566" si="923">TRUNC(B558/12*0.3)</f>
        <v>1746</v>
      </c>
      <c r="K558" s="80">
        <f t="shared" ref="K558:K566" si="924">TRUNC((B558+C558)/2/12*0.3)</f>
        <v>1870</v>
      </c>
      <c r="L558" s="80">
        <f t="shared" ref="L558:L566" si="925">TRUNC((D558)/12*0.3)</f>
        <v>2244</v>
      </c>
      <c r="M558" s="80">
        <f t="shared" ref="M558:M566" si="926">TRUNC(((E558+F558)/2)/12*0.3)</f>
        <v>2591</v>
      </c>
      <c r="N558" s="80">
        <f t="shared" ref="N558:N566" si="927">TRUNC(G558/12*0.3)</f>
        <v>2890</v>
      </c>
      <c r="O558" s="80">
        <f t="shared" ref="O558:O566" si="928">TRUNC(((H558+I558)/2)/12*0.3)</f>
        <v>3190</v>
      </c>
      <c r="P558" s="81"/>
      <c r="Q558" s="81"/>
      <c r="R558" s="81"/>
      <c r="S558" s="81"/>
      <c r="T558" s="81"/>
      <c r="U558" s="81"/>
      <c r="V558" s="81"/>
      <c r="W558" s="81"/>
      <c r="X558" s="81"/>
      <c r="Y558" s="81"/>
      <c r="Z558" s="81"/>
      <c r="AA558" s="81"/>
      <c r="AB558" s="81"/>
      <c r="AC558" s="81"/>
      <c r="AD558" s="81"/>
      <c r="AE558" s="81"/>
      <c r="AF558" s="81"/>
    </row>
    <row r="559" spans="1:32">
      <c r="A559" s="76" t="s">
        <v>1293</v>
      </c>
      <c r="B559" s="79">
        <f>B549*2*1.2</f>
        <v>76200</v>
      </c>
      <c r="C559" s="79">
        <f t="shared" ref="C559:I559" si="929">C549*2*1.2</f>
        <v>87000</v>
      </c>
      <c r="D559" s="79">
        <f t="shared" si="929"/>
        <v>97920</v>
      </c>
      <c r="E559" s="79">
        <f t="shared" si="929"/>
        <v>108720</v>
      </c>
      <c r="F559" s="79">
        <f t="shared" si="929"/>
        <v>117480</v>
      </c>
      <c r="G559" s="79">
        <f t="shared" si="929"/>
        <v>126120</v>
      </c>
      <c r="H559" s="79">
        <f t="shared" si="929"/>
        <v>134880</v>
      </c>
      <c r="I559" s="79">
        <f t="shared" si="929"/>
        <v>143520</v>
      </c>
      <c r="J559" s="80">
        <f t="shared" si="923"/>
        <v>1905</v>
      </c>
      <c r="K559" s="80">
        <f t="shared" si="924"/>
        <v>2040</v>
      </c>
      <c r="L559" s="80">
        <f t="shared" si="925"/>
        <v>2448</v>
      </c>
      <c r="M559" s="80">
        <f t="shared" si="926"/>
        <v>2827</v>
      </c>
      <c r="N559" s="80">
        <f t="shared" si="927"/>
        <v>3153</v>
      </c>
      <c r="O559" s="80">
        <f t="shared" si="928"/>
        <v>3480</v>
      </c>
      <c r="P559" s="81"/>
      <c r="Q559" s="81"/>
      <c r="R559" s="81"/>
      <c r="S559" s="81"/>
      <c r="T559" s="81"/>
      <c r="U559" s="81"/>
      <c r="V559" s="81"/>
      <c r="W559" s="81"/>
      <c r="X559" s="81"/>
      <c r="Y559" s="81"/>
      <c r="Z559" s="81"/>
      <c r="AA559" s="81"/>
      <c r="AB559" s="81"/>
      <c r="AC559" s="81"/>
      <c r="AD559" s="81"/>
      <c r="AE559" s="81"/>
      <c r="AF559" s="81"/>
    </row>
    <row r="560" spans="1:32">
      <c r="A560" s="76" t="s">
        <v>1294</v>
      </c>
      <c r="B560" s="79">
        <f>B567*2*0.15</f>
        <v>7680</v>
      </c>
      <c r="C560" s="79">
        <f>C567*2*0.15</f>
        <v>8775</v>
      </c>
      <c r="D560" s="79">
        <f>D567*2*0.15</f>
        <v>9870</v>
      </c>
      <c r="E560" s="79">
        <f>E567*2*0.15</f>
        <v>10965</v>
      </c>
      <c r="F560" s="79">
        <f>F567*2*0.15</f>
        <v>11850</v>
      </c>
      <c r="G560" s="79">
        <f t="shared" ref="G560:I560" si="930">G567*2*0.15</f>
        <v>12720</v>
      </c>
      <c r="H560" s="79">
        <f t="shared" si="930"/>
        <v>13605</v>
      </c>
      <c r="I560" s="79">
        <f t="shared" si="930"/>
        <v>14475</v>
      </c>
      <c r="J560" s="80">
        <f t="shared" si="923"/>
        <v>192</v>
      </c>
      <c r="K560" s="80">
        <f t="shared" si="924"/>
        <v>205</v>
      </c>
      <c r="L560" s="80">
        <f t="shared" si="925"/>
        <v>246</v>
      </c>
      <c r="M560" s="80">
        <f t="shared" si="926"/>
        <v>285</v>
      </c>
      <c r="N560" s="80">
        <f t="shared" si="927"/>
        <v>318</v>
      </c>
      <c r="O560" s="80">
        <f t="shared" si="928"/>
        <v>351</v>
      </c>
      <c r="P560" s="81"/>
      <c r="Q560" s="81"/>
      <c r="R560" s="81"/>
      <c r="S560" s="81"/>
      <c r="T560" s="81"/>
      <c r="U560" s="81"/>
      <c r="V560" s="81"/>
      <c r="W560" s="81"/>
      <c r="X560" s="81"/>
      <c r="Y560" s="81"/>
      <c r="Z560" s="81"/>
      <c r="AA560" s="81"/>
      <c r="AB560" s="81"/>
      <c r="AC560" s="81"/>
      <c r="AD560" s="81"/>
      <c r="AE560" s="81"/>
      <c r="AF560" s="81"/>
    </row>
    <row r="561" spans="1:32">
      <c r="A561" s="76" t="s">
        <v>1295</v>
      </c>
      <c r="B561" s="79">
        <f>B567*2*0.2</f>
        <v>10240</v>
      </c>
      <c r="C561" s="79">
        <f t="shared" ref="C561:I561" si="931">C567*2*0.2</f>
        <v>11700</v>
      </c>
      <c r="D561" s="79">
        <f t="shared" si="931"/>
        <v>13160</v>
      </c>
      <c r="E561" s="79">
        <f t="shared" si="931"/>
        <v>14620</v>
      </c>
      <c r="F561" s="79">
        <f t="shared" si="931"/>
        <v>15800</v>
      </c>
      <c r="G561" s="79">
        <f t="shared" si="931"/>
        <v>16960</v>
      </c>
      <c r="H561" s="79">
        <f t="shared" si="931"/>
        <v>18140</v>
      </c>
      <c r="I561" s="79">
        <f t="shared" si="931"/>
        <v>19300</v>
      </c>
      <c r="J561" s="80">
        <f t="shared" si="923"/>
        <v>256</v>
      </c>
      <c r="K561" s="80">
        <f t="shared" si="924"/>
        <v>274</v>
      </c>
      <c r="L561" s="80">
        <f t="shared" si="925"/>
        <v>329</v>
      </c>
      <c r="M561" s="80">
        <f t="shared" si="926"/>
        <v>380</v>
      </c>
      <c r="N561" s="80">
        <f t="shared" si="927"/>
        <v>424</v>
      </c>
      <c r="O561" s="80">
        <f t="shared" si="928"/>
        <v>468</v>
      </c>
      <c r="P561" s="81"/>
      <c r="Q561" s="81"/>
      <c r="R561" s="81"/>
      <c r="S561" s="81"/>
      <c r="T561" s="81"/>
      <c r="U561" s="81"/>
      <c r="V561" s="81"/>
      <c r="W561" s="81"/>
      <c r="X561" s="81"/>
      <c r="Y561" s="81"/>
      <c r="Z561" s="81"/>
      <c r="AA561" s="81"/>
      <c r="AB561" s="81"/>
      <c r="AC561" s="81"/>
      <c r="AD561" s="81"/>
      <c r="AE561" s="81"/>
      <c r="AF561" s="81"/>
    </row>
    <row r="562" spans="1:32">
      <c r="A562" s="76" t="s">
        <v>1296</v>
      </c>
      <c r="B562" s="79">
        <f>B567*2*0.25</f>
        <v>12800</v>
      </c>
      <c r="C562" s="79">
        <f t="shared" ref="C562:I562" si="932">C567*2*0.25</f>
        <v>14625</v>
      </c>
      <c r="D562" s="79">
        <f t="shared" si="932"/>
        <v>16450</v>
      </c>
      <c r="E562" s="79">
        <f t="shared" si="932"/>
        <v>18275</v>
      </c>
      <c r="F562" s="79">
        <f t="shared" si="932"/>
        <v>19750</v>
      </c>
      <c r="G562" s="79">
        <f t="shared" si="932"/>
        <v>21200</v>
      </c>
      <c r="H562" s="79">
        <f t="shared" si="932"/>
        <v>22675</v>
      </c>
      <c r="I562" s="79">
        <f t="shared" si="932"/>
        <v>24125</v>
      </c>
      <c r="J562" s="80">
        <f t="shared" si="923"/>
        <v>320</v>
      </c>
      <c r="K562" s="80">
        <f t="shared" si="924"/>
        <v>342</v>
      </c>
      <c r="L562" s="80">
        <f t="shared" si="925"/>
        <v>411</v>
      </c>
      <c r="M562" s="80">
        <f t="shared" si="926"/>
        <v>475</v>
      </c>
      <c r="N562" s="80">
        <f t="shared" si="927"/>
        <v>530</v>
      </c>
      <c r="O562" s="80">
        <f t="shared" si="928"/>
        <v>585</v>
      </c>
      <c r="P562" s="81"/>
      <c r="Q562" s="81"/>
      <c r="R562" s="81"/>
      <c r="S562" s="81"/>
      <c r="T562" s="81"/>
      <c r="U562" s="81"/>
      <c r="V562" s="81"/>
      <c r="W562" s="81"/>
      <c r="X562" s="81"/>
      <c r="Y562" s="81"/>
      <c r="Z562" s="81"/>
      <c r="AA562" s="81"/>
      <c r="AB562" s="81"/>
      <c r="AC562" s="81"/>
      <c r="AD562" s="81"/>
      <c r="AE562" s="81"/>
      <c r="AF562" s="81"/>
    </row>
    <row r="563" spans="1:32">
      <c r="A563" s="76" t="s">
        <v>1297</v>
      </c>
      <c r="B563" s="79">
        <f>B567*2*0.3</f>
        <v>15360</v>
      </c>
      <c r="C563" s="79">
        <f t="shared" ref="C563:I563" si="933">C567*2*0.3</f>
        <v>17550</v>
      </c>
      <c r="D563" s="79">
        <f t="shared" si="933"/>
        <v>19740</v>
      </c>
      <c r="E563" s="79">
        <f t="shared" si="933"/>
        <v>21930</v>
      </c>
      <c r="F563" s="79">
        <f t="shared" si="933"/>
        <v>23700</v>
      </c>
      <c r="G563" s="79">
        <f t="shared" si="933"/>
        <v>25440</v>
      </c>
      <c r="H563" s="79">
        <f t="shared" si="933"/>
        <v>27210</v>
      </c>
      <c r="I563" s="79">
        <f t="shared" si="933"/>
        <v>28950</v>
      </c>
      <c r="J563" s="80">
        <f t="shared" si="923"/>
        <v>384</v>
      </c>
      <c r="K563" s="80">
        <f t="shared" si="924"/>
        <v>411</v>
      </c>
      <c r="L563" s="80">
        <f t="shared" si="925"/>
        <v>493</v>
      </c>
      <c r="M563" s="80">
        <f t="shared" si="926"/>
        <v>570</v>
      </c>
      <c r="N563" s="80">
        <f t="shared" si="927"/>
        <v>636</v>
      </c>
      <c r="O563" s="80">
        <f t="shared" si="928"/>
        <v>702</v>
      </c>
      <c r="P563" s="81"/>
      <c r="Q563" s="81"/>
      <c r="R563" s="81"/>
      <c r="S563" s="81"/>
      <c r="T563" s="81"/>
      <c r="U563" s="81"/>
      <c r="V563" s="81"/>
      <c r="W563" s="81"/>
      <c r="X563" s="81"/>
      <c r="Y563" s="81"/>
      <c r="Z563" s="81"/>
      <c r="AA563" s="81"/>
      <c r="AB563" s="81"/>
      <c r="AC563" s="81"/>
      <c r="AD563" s="81"/>
      <c r="AE563" s="81"/>
      <c r="AF563" s="81"/>
    </row>
    <row r="564" spans="1:32">
      <c r="A564" s="76" t="s">
        <v>1298</v>
      </c>
      <c r="B564" s="79">
        <f>B567*2*0.35</f>
        <v>17920</v>
      </c>
      <c r="C564" s="79">
        <f t="shared" ref="C564:I564" si="934">C567*2*0.35</f>
        <v>20475</v>
      </c>
      <c r="D564" s="79">
        <f t="shared" si="934"/>
        <v>23030</v>
      </c>
      <c r="E564" s="79">
        <f t="shared" si="934"/>
        <v>25585</v>
      </c>
      <c r="F564" s="79">
        <f t="shared" si="934"/>
        <v>27650</v>
      </c>
      <c r="G564" s="79">
        <f t="shared" si="934"/>
        <v>29679.999999999996</v>
      </c>
      <c r="H564" s="79">
        <f t="shared" si="934"/>
        <v>31744.999999999996</v>
      </c>
      <c r="I564" s="79">
        <f t="shared" si="934"/>
        <v>33775</v>
      </c>
      <c r="J564" s="80">
        <f t="shared" si="923"/>
        <v>448</v>
      </c>
      <c r="K564" s="80">
        <f t="shared" si="924"/>
        <v>479</v>
      </c>
      <c r="L564" s="80">
        <f t="shared" si="925"/>
        <v>575</v>
      </c>
      <c r="M564" s="80">
        <f t="shared" si="926"/>
        <v>665</v>
      </c>
      <c r="N564" s="80">
        <f t="shared" si="927"/>
        <v>742</v>
      </c>
      <c r="O564" s="80">
        <f t="shared" si="928"/>
        <v>819</v>
      </c>
      <c r="P564" s="81"/>
      <c r="Q564" s="81"/>
      <c r="R564" s="81"/>
      <c r="S564" s="81"/>
      <c r="T564" s="81"/>
      <c r="U564" s="81"/>
      <c r="V564" s="81"/>
      <c r="W564" s="81"/>
      <c r="X564" s="81"/>
      <c r="Y564" s="81"/>
      <c r="Z564" s="81"/>
      <c r="AA564" s="81"/>
      <c r="AB564" s="81"/>
      <c r="AC564" s="81"/>
      <c r="AD564" s="81"/>
      <c r="AE564" s="81"/>
      <c r="AF564" s="81"/>
    </row>
    <row r="565" spans="1:32">
      <c r="A565" s="76" t="s">
        <v>1299</v>
      </c>
      <c r="B565" s="79">
        <f>B567*2*0.4</f>
        <v>20480</v>
      </c>
      <c r="C565" s="79">
        <f t="shared" ref="C565:I565" si="935">C567*2*0.4</f>
        <v>23400</v>
      </c>
      <c r="D565" s="79">
        <f t="shared" si="935"/>
        <v>26320</v>
      </c>
      <c r="E565" s="79">
        <f t="shared" si="935"/>
        <v>29240</v>
      </c>
      <c r="F565" s="79">
        <f t="shared" si="935"/>
        <v>31600</v>
      </c>
      <c r="G565" s="79">
        <f t="shared" si="935"/>
        <v>33920</v>
      </c>
      <c r="H565" s="79">
        <f t="shared" si="935"/>
        <v>36280</v>
      </c>
      <c r="I565" s="79">
        <f t="shared" si="935"/>
        <v>38600</v>
      </c>
      <c r="J565" s="80">
        <f t="shared" si="923"/>
        <v>512</v>
      </c>
      <c r="K565" s="80">
        <f t="shared" si="924"/>
        <v>548</v>
      </c>
      <c r="L565" s="80">
        <f t="shared" si="925"/>
        <v>658</v>
      </c>
      <c r="M565" s="80">
        <f t="shared" si="926"/>
        <v>760</v>
      </c>
      <c r="N565" s="80">
        <f t="shared" si="927"/>
        <v>848</v>
      </c>
      <c r="O565" s="80">
        <f t="shared" si="928"/>
        <v>936</v>
      </c>
      <c r="P565" s="81"/>
      <c r="Q565" s="81"/>
      <c r="R565" s="81"/>
      <c r="S565" s="81"/>
      <c r="T565" s="81"/>
      <c r="U565" s="81"/>
      <c r="V565" s="81"/>
      <c r="W565" s="81"/>
      <c r="X565" s="81"/>
      <c r="Y565" s="81"/>
      <c r="Z565" s="81"/>
      <c r="AA565" s="81"/>
      <c r="AB565" s="81"/>
      <c r="AC565" s="81"/>
      <c r="AD565" s="81"/>
      <c r="AE565" s="81"/>
      <c r="AF565" s="81"/>
    </row>
    <row r="566" spans="1:32">
      <c r="A566" s="76" t="s">
        <v>1300</v>
      </c>
      <c r="B566" s="79">
        <f>B567*2*0.45</f>
        <v>23040</v>
      </c>
      <c r="C566" s="79">
        <f t="shared" ref="C566:I566" si="936">C567*2*0.45</f>
        <v>26325</v>
      </c>
      <c r="D566" s="79">
        <f t="shared" si="936"/>
        <v>29610</v>
      </c>
      <c r="E566" s="79">
        <f t="shared" si="936"/>
        <v>32895</v>
      </c>
      <c r="F566" s="79">
        <f t="shared" si="936"/>
        <v>35550</v>
      </c>
      <c r="G566" s="79">
        <f t="shared" si="936"/>
        <v>38160</v>
      </c>
      <c r="H566" s="79">
        <f t="shared" si="936"/>
        <v>40815</v>
      </c>
      <c r="I566" s="79">
        <f t="shared" si="936"/>
        <v>43425</v>
      </c>
      <c r="J566" s="80">
        <f t="shared" si="923"/>
        <v>576</v>
      </c>
      <c r="K566" s="80">
        <f t="shared" si="924"/>
        <v>617</v>
      </c>
      <c r="L566" s="80">
        <f t="shared" si="925"/>
        <v>740</v>
      </c>
      <c r="M566" s="80">
        <f t="shared" si="926"/>
        <v>855</v>
      </c>
      <c r="N566" s="80">
        <f t="shared" si="927"/>
        <v>954</v>
      </c>
      <c r="O566" s="80">
        <f t="shared" si="928"/>
        <v>1053</v>
      </c>
      <c r="P566" s="81"/>
      <c r="Q566" s="81"/>
      <c r="R566" s="81"/>
      <c r="S566" s="81"/>
      <c r="T566" s="81"/>
      <c r="U566" s="81"/>
      <c r="V566" s="81"/>
      <c r="W566" s="81"/>
      <c r="X566" s="81"/>
      <c r="Y566" s="81"/>
      <c r="Z566" s="81"/>
      <c r="AA566" s="81"/>
      <c r="AB566" s="81"/>
      <c r="AC566" s="81"/>
      <c r="AD566" s="81"/>
      <c r="AE566" s="81"/>
      <c r="AF566" s="81"/>
    </row>
    <row r="567" spans="1:32">
      <c r="A567" s="82" t="s">
        <v>1301</v>
      </c>
      <c r="B567" s="84">
        <f>'MTSP 50% Income Limits '!B33</f>
        <v>25600</v>
      </c>
      <c r="C567" s="84">
        <f>'MTSP 50% Income Limits '!C33</f>
        <v>29250</v>
      </c>
      <c r="D567" s="84">
        <f>'MTSP 50% Income Limits '!D33</f>
        <v>32900</v>
      </c>
      <c r="E567" s="84">
        <f>'MTSP 50% Income Limits '!E33</f>
        <v>36550</v>
      </c>
      <c r="F567" s="84">
        <f>'MTSP 50% Income Limits '!F33</f>
        <v>39500</v>
      </c>
      <c r="G567" s="84">
        <f>'MTSP 50% Income Limits '!G33</f>
        <v>42400</v>
      </c>
      <c r="H567" s="84">
        <f>'MTSP 50% Income Limits '!H33</f>
        <v>45350</v>
      </c>
      <c r="I567" s="84">
        <f>'MTSP 50% Income Limits '!I33</f>
        <v>48250</v>
      </c>
      <c r="J567" s="83">
        <f>TRUNC(B567/12*0.3)</f>
        <v>640</v>
      </c>
      <c r="K567" s="83">
        <f>TRUNC((B567+C567)/2/12*0.3)</f>
        <v>685</v>
      </c>
      <c r="L567" s="83">
        <f>TRUNC((D567)/12*0.3)</f>
        <v>822</v>
      </c>
      <c r="M567" s="83">
        <f>TRUNC(((E567+F567)/2)/12*0.3)</f>
        <v>950</v>
      </c>
      <c r="N567" s="83">
        <f>TRUNC(G567/12*0.3)</f>
        <v>1060</v>
      </c>
      <c r="O567" s="83">
        <f>TRUNC(((H567+I567)/2)/12*0.3)</f>
        <v>1170</v>
      </c>
      <c r="P567" s="81"/>
      <c r="Q567" s="81"/>
      <c r="R567" s="81"/>
      <c r="S567" s="81"/>
      <c r="T567" s="81"/>
      <c r="U567" s="81"/>
      <c r="V567" s="81"/>
      <c r="W567" s="81"/>
      <c r="X567" s="81"/>
      <c r="Y567" s="81"/>
      <c r="Z567" s="81"/>
      <c r="AA567" s="81"/>
      <c r="AB567" s="81"/>
      <c r="AC567" s="81"/>
      <c r="AD567" s="81"/>
      <c r="AE567" s="81"/>
      <c r="AF567" s="81"/>
    </row>
    <row r="568" spans="1:32">
      <c r="A568" s="76" t="s">
        <v>1302</v>
      </c>
      <c r="B568" s="79">
        <f>B567*2*0.55</f>
        <v>28160.000000000004</v>
      </c>
      <c r="C568" s="79">
        <f t="shared" ref="C568:I568" si="937">C567*2*0.55</f>
        <v>32175.000000000004</v>
      </c>
      <c r="D568" s="79">
        <f t="shared" si="937"/>
        <v>36190</v>
      </c>
      <c r="E568" s="79">
        <f t="shared" si="937"/>
        <v>40205</v>
      </c>
      <c r="F568" s="79">
        <f t="shared" si="937"/>
        <v>43450</v>
      </c>
      <c r="G568" s="79">
        <f t="shared" si="937"/>
        <v>46640.000000000007</v>
      </c>
      <c r="H568" s="79">
        <f t="shared" si="937"/>
        <v>49885.000000000007</v>
      </c>
      <c r="I568" s="79">
        <f t="shared" si="937"/>
        <v>53075.000000000007</v>
      </c>
      <c r="J568" s="80">
        <f t="shared" ref="J568:J574" si="938">TRUNC(B568/12*0.3)</f>
        <v>704</v>
      </c>
      <c r="K568" s="80">
        <f t="shared" ref="K568:K574" si="939">TRUNC((B568+C568)/2/12*0.3)</f>
        <v>754</v>
      </c>
      <c r="L568" s="80">
        <f t="shared" ref="L568:L574" si="940">TRUNC((D568)/12*0.3)</f>
        <v>904</v>
      </c>
      <c r="M568" s="80">
        <f t="shared" ref="M568:M574" si="941">TRUNC(((E568+F568)/2)/12*0.3)</f>
        <v>1045</v>
      </c>
      <c r="N568" s="80">
        <f t="shared" ref="N568:N574" si="942">TRUNC(G568/12*0.3)</f>
        <v>1166</v>
      </c>
      <c r="O568" s="80">
        <f t="shared" ref="O568:O574" si="943">TRUNC(((H568+I568)/2)/12*0.3)</f>
        <v>1287</v>
      </c>
      <c r="P568" s="81"/>
      <c r="Q568" s="81"/>
      <c r="R568" s="81"/>
      <c r="S568" s="81"/>
      <c r="T568" s="81"/>
      <c r="U568" s="81"/>
      <c r="V568" s="81"/>
      <c r="W568" s="81"/>
      <c r="X568" s="81"/>
      <c r="Y568" s="81"/>
      <c r="Z568" s="81"/>
      <c r="AA568" s="81"/>
      <c r="AB568" s="81"/>
      <c r="AC568" s="81"/>
      <c r="AD568" s="81"/>
      <c r="AE568" s="81"/>
      <c r="AF568" s="81"/>
    </row>
    <row r="569" spans="1:32">
      <c r="A569" s="76" t="s">
        <v>1303</v>
      </c>
      <c r="B569" s="79">
        <f>B567*2*0.6</f>
        <v>30720</v>
      </c>
      <c r="C569" s="79">
        <f t="shared" ref="C569:I569" si="944">C567*2*0.6</f>
        <v>35100</v>
      </c>
      <c r="D569" s="79">
        <f t="shared" si="944"/>
        <v>39480</v>
      </c>
      <c r="E569" s="79">
        <f t="shared" si="944"/>
        <v>43860</v>
      </c>
      <c r="F569" s="79">
        <f t="shared" si="944"/>
        <v>47400</v>
      </c>
      <c r="G569" s="79">
        <f t="shared" si="944"/>
        <v>50880</v>
      </c>
      <c r="H569" s="79">
        <f t="shared" si="944"/>
        <v>54420</v>
      </c>
      <c r="I569" s="79">
        <f t="shared" si="944"/>
        <v>57900</v>
      </c>
      <c r="J569" s="80">
        <f t="shared" si="938"/>
        <v>768</v>
      </c>
      <c r="K569" s="80">
        <f t="shared" si="939"/>
        <v>822</v>
      </c>
      <c r="L569" s="80">
        <f t="shared" si="940"/>
        <v>987</v>
      </c>
      <c r="M569" s="80">
        <f t="shared" si="941"/>
        <v>1140</v>
      </c>
      <c r="N569" s="80">
        <f t="shared" si="942"/>
        <v>1272</v>
      </c>
      <c r="O569" s="80">
        <f t="shared" si="943"/>
        <v>1404</v>
      </c>
      <c r="P569" s="81"/>
      <c r="Q569" s="81"/>
      <c r="R569" s="81"/>
      <c r="S569" s="81"/>
      <c r="T569" s="81"/>
      <c r="U569" s="81"/>
      <c r="V569" s="81"/>
      <c r="W569" s="81"/>
      <c r="X569" s="81"/>
      <c r="Y569" s="81"/>
      <c r="Z569" s="81"/>
      <c r="AA569" s="81"/>
      <c r="AB569" s="81"/>
      <c r="AC569" s="81"/>
      <c r="AD569" s="81"/>
      <c r="AE569" s="81"/>
      <c r="AF569" s="81"/>
    </row>
    <row r="570" spans="1:32">
      <c r="A570" s="76" t="s">
        <v>1304</v>
      </c>
      <c r="B570" s="79">
        <f>B567*2*0.65</f>
        <v>33280</v>
      </c>
      <c r="C570" s="79">
        <f t="shared" ref="C570:I570" si="945">C567*2*0.65</f>
        <v>38025</v>
      </c>
      <c r="D570" s="79">
        <f t="shared" si="945"/>
        <v>42770</v>
      </c>
      <c r="E570" s="79">
        <f t="shared" si="945"/>
        <v>47515</v>
      </c>
      <c r="F570" s="79">
        <f t="shared" si="945"/>
        <v>51350</v>
      </c>
      <c r="G570" s="79">
        <f t="shared" si="945"/>
        <v>55120</v>
      </c>
      <c r="H570" s="79">
        <f t="shared" si="945"/>
        <v>58955</v>
      </c>
      <c r="I570" s="79">
        <f t="shared" si="945"/>
        <v>62725</v>
      </c>
      <c r="J570" s="80">
        <f t="shared" si="938"/>
        <v>832</v>
      </c>
      <c r="K570" s="80">
        <f t="shared" si="939"/>
        <v>891</v>
      </c>
      <c r="L570" s="80">
        <f t="shared" si="940"/>
        <v>1069</v>
      </c>
      <c r="M570" s="80">
        <f t="shared" si="941"/>
        <v>1235</v>
      </c>
      <c r="N570" s="80">
        <f t="shared" si="942"/>
        <v>1378</v>
      </c>
      <c r="O570" s="80">
        <f t="shared" si="943"/>
        <v>1521</v>
      </c>
      <c r="P570" s="81"/>
      <c r="Q570" s="81"/>
      <c r="R570" s="81"/>
      <c r="S570" s="81"/>
      <c r="T570" s="81"/>
      <c r="U570" s="81"/>
      <c r="V570" s="81"/>
      <c r="W570" s="81"/>
      <c r="X570" s="81"/>
      <c r="Y570" s="81"/>
      <c r="Z570" s="81"/>
      <c r="AA570" s="81"/>
      <c r="AB570" s="81"/>
      <c r="AC570" s="81"/>
      <c r="AD570" s="81"/>
      <c r="AE570" s="81"/>
      <c r="AF570" s="81"/>
    </row>
    <row r="571" spans="1:32">
      <c r="A571" s="76" t="s">
        <v>1305</v>
      </c>
      <c r="B571" s="79">
        <f>B567*2*0.7</f>
        <v>35840</v>
      </c>
      <c r="C571" s="79">
        <f t="shared" ref="C571:I571" si="946">C567*2*0.7</f>
        <v>40950</v>
      </c>
      <c r="D571" s="79">
        <f t="shared" si="946"/>
        <v>46060</v>
      </c>
      <c r="E571" s="79">
        <f t="shared" si="946"/>
        <v>51170</v>
      </c>
      <c r="F571" s="79">
        <f t="shared" si="946"/>
        <v>55300</v>
      </c>
      <c r="G571" s="79">
        <f t="shared" si="946"/>
        <v>59359.999999999993</v>
      </c>
      <c r="H571" s="79">
        <f t="shared" si="946"/>
        <v>63489.999999999993</v>
      </c>
      <c r="I571" s="79">
        <f t="shared" si="946"/>
        <v>67550</v>
      </c>
      <c r="J571" s="80">
        <f t="shared" si="938"/>
        <v>896</v>
      </c>
      <c r="K571" s="80">
        <f t="shared" si="939"/>
        <v>959</v>
      </c>
      <c r="L571" s="80">
        <f t="shared" si="940"/>
        <v>1151</v>
      </c>
      <c r="M571" s="80">
        <f t="shared" si="941"/>
        <v>1330</v>
      </c>
      <c r="N571" s="80">
        <f t="shared" si="942"/>
        <v>1484</v>
      </c>
      <c r="O571" s="80">
        <f t="shared" si="943"/>
        <v>1638</v>
      </c>
      <c r="P571" s="81"/>
      <c r="Q571" s="81"/>
      <c r="R571" s="81"/>
      <c r="S571" s="81"/>
      <c r="T571" s="81"/>
      <c r="U571" s="81"/>
      <c r="V571" s="81"/>
      <c r="W571" s="81"/>
      <c r="X571" s="81"/>
      <c r="Y571" s="81"/>
      <c r="Z571" s="81"/>
      <c r="AA571" s="81"/>
      <c r="AB571" s="81"/>
      <c r="AC571" s="81"/>
      <c r="AD571" s="81"/>
      <c r="AE571" s="81"/>
      <c r="AF571" s="81"/>
    </row>
    <row r="572" spans="1:32">
      <c r="A572" s="76" t="s">
        <v>1306</v>
      </c>
      <c r="B572" s="79">
        <f>B567*2*0.75</f>
        <v>38400</v>
      </c>
      <c r="C572" s="79">
        <f t="shared" ref="C572:I572" si="947">C567*2*0.75</f>
        <v>43875</v>
      </c>
      <c r="D572" s="79">
        <f t="shared" si="947"/>
        <v>49350</v>
      </c>
      <c r="E572" s="79">
        <f t="shared" si="947"/>
        <v>54825</v>
      </c>
      <c r="F572" s="79">
        <f t="shared" si="947"/>
        <v>59250</v>
      </c>
      <c r="G572" s="79">
        <f t="shared" si="947"/>
        <v>63600</v>
      </c>
      <c r="H572" s="79">
        <f t="shared" si="947"/>
        <v>68025</v>
      </c>
      <c r="I572" s="79">
        <f t="shared" si="947"/>
        <v>72375</v>
      </c>
      <c r="J572" s="80">
        <f t="shared" si="938"/>
        <v>960</v>
      </c>
      <c r="K572" s="80">
        <f t="shared" si="939"/>
        <v>1028</v>
      </c>
      <c r="L572" s="80">
        <f t="shared" si="940"/>
        <v>1233</v>
      </c>
      <c r="M572" s="80">
        <f t="shared" si="941"/>
        <v>1425</v>
      </c>
      <c r="N572" s="80">
        <f t="shared" si="942"/>
        <v>1590</v>
      </c>
      <c r="O572" s="80">
        <f t="shared" si="943"/>
        <v>1755</v>
      </c>
      <c r="P572" s="81"/>
      <c r="Q572" s="81"/>
      <c r="R572" s="81"/>
      <c r="S572" s="81"/>
      <c r="T572" s="81"/>
      <c r="U572" s="81"/>
      <c r="V572" s="81"/>
      <c r="W572" s="81"/>
      <c r="X572" s="81"/>
      <c r="Y572" s="81"/>
      <c r="Z572" s="81"/>
      <c r="AA572" s="81"/>
      <c r="AB572" s="81"/>
      <c r="AC572" s="81"/>
      <c r="AD572" s="81"/>
      <c r="AE572" s="81"/>
      <c r="AF572" s="81"/>
    </row>
    <row r="573" spans="1:32">
      <c r="A573" s="76" t="s">
        <v>1307</v>
      </c>
      <c r="B573" s="79">
        <f>B567*2*0.8</f>
        <v>40960</v>
      </c>
      <c r="C573" s="79">
        <f t="shared" ref="C573:I573" si="948">C567*2*0.8</f>
        <v>46800</v>
      </c>
      <c r="D573" s="79">
        <f t="shared" si="948"/>
        <v>52640</v>
      </c>
      <c r="E573" s="79">
        <f t="shared" si="948"/>
        <v>58480</v>
      </c>
      <c r="F573" s="79">
        <f t="shared" si="948"/>
        <v>63200</v>
      </c>
      <c r="G573" s="79">
        <f t="shared" si="948"/>
        <v>67840</v>
      </c>
      <c r="H573" s="79">
        <f t="shared" si="948"/>
        <v>72560</v>
      </c>
      <c r="I573" s="79">
        <f t="shared" si="948"/>
        <v>77200</v>
      </c>
      <c r="J573" s="80">
        <f t="shared" si="938"/>
        <v>1024</v>
      </c>
      <c r="K573" s="80">
        <f t="shared" si="939"/>
        <v>1097</v>
      </c>
      <c r="L573" s="80">
        <f t="shared" si="940"/>
        <v>1316</v>
      </c>
      <c r="M573" s="80">
        <f t="shared" si="941"/>
        <v>1521</v>
      </c>
      <c r="N573" s="80">
        <f t="shared" si="942"/>
        <v>1696</v>
      </c>
      <c r="O573" s="80">
        <f t="shared" si="943"/>
        <v>1872</v>
      </c>
      <c r="P573" s="81"/>
      <c r="Q573" s="81"/>
      <c r="R573" s="81"/>
      <c r="S573" s="81"/>
      <c r="T573" s="81"/>
      <c r="U573" s="81"/>
      <c r="V573" s="81"/>
      <c r="W573" s="81"/>
      <c r="X573" s="81"/>
      <c r="Y573" s="81"/>
      <c r="Z573" s="81"/>
      <c r="AA573" s="81"/>
      <c r="AB573" s="81"/>
      <c r="AC573" s="81"/>
      <c r="AD573" s="81"/>
      <c r="AE573" s="81"/>
      <c r="AF573" s="81"/>
    </row>
    <row r="574" spans="1:32">
      <c r="A574" s="76" t="s">
        <v>1308</v>
      </c>
      <c r="B574" s="79">
        <f>B567*2*0.9</f>
        <v>46080</v>
      </c>
      <c r="C574" s="79">
        <f t="shared" ref="C574:I574" si="949">C567*2*0.9</f>
        <v>52650</v>
      </c>
      <c r="D574" s="79">
        <f t="shared" si="949"/>
        <v>59220</v>
      </c>
      <c r="E574" s="79">
        <f t="shared" si="949"/>
        <v>65790</v>
      </c>
      <c r="F574" s="79">
        <f t="shared" si="949"/>
        <v>71100</v>
      </c>
      <c r="G574" s="79">
        <f t="shared" si="949"/>
        <v>76320</v>
      </c>
      <c r="H574" s="79">
        <f t="shared" si="949"/>
        <v>81630</v>
      </c>
      <c r="I574" s="79">
        <f t="shared" si="949"/>
        <v>86850</v>
      </c>
      <c r="J574" s="80">
        <f t="shared" si="938"/>
        <v>1152</v>
      </c>
      <c r="K574" s="80">
        <f t="shared" si="939"/>
        <v>1234</v>
      </c>
      <c r="L574" s="80">
        <f t="shared" si="940"/>
        <v>1480</v>
      </c>
      <c r="M574" s="80">
        <f t="shared" si="941"/>
        <v>1711</v>
      </c>
      <c r="N574" s="80">
        <f t="shared" si="942"/>
        <v>1908</v>
      </c>
      <c r="O574" s="80">
        <f t="shared" si="943"/>
        <v>2106</v>
      </c>
      <c r="P574" s="81"/>
      <c r="Q574" s="81"/>
      <c r="R574" s="81"/>
      <c r="S574" s="81"/>
      <c r="T574" s="81"/>
      <c r="U574" s="81"/>
      <c r="V574" s="81"/>
      <c r="W574" s="81"/>
      <c r="X574" s="81"/>
      <c r="Y574" s="81"/>
      <c r="Z574" s="81"/>
      <c r="AA574" s="81"/>
      <c r="AB574" s="81"/>
      <c r="AC574" s="81"/>
      <c r="AD574" s="81"/>
      <c r="AE574" s="81"/>
      <c r="AF574" s="81"/>
    </row>
    <row r="575" spans="1:32">
      <c r="A575" s="76" t="s">
        <v>1309</v>
      </c>
      <c r="B575" s="79">
        <f>B567*2</f>
        <v>51200</v>
      </c>
      <c r="C575" s="79">
        <f t="shared" ref="C575:I575" si="950">C567*2</f>
        <v>58500</v>
      </c>
      <c r="D575" s="79">
        <f t="shared" si="950"/>
        <v>65800</v>
      </c>
      <c r="E575" s="79">
        <f t="shared" si="950"/>
        <v>73100</v>
      </c>
      <c r="F575" s="79">
        <f t="shared" si="950"/>
        <v>79000</v>
      </c>
      <c r="G575" s="79">
        <f t="shared" si="950"/>
        <v>84800</v>
      </c>
      <c r="H575" s="79">
        <f t="shared" si="950"/>
        <v>90700</v>
      </c>
      <c r="I575" s="79">
        <f t="shared" si="950"/>
        <v>96500</v>
      </c>
      <c r="J575" s="80">
        <f>J567*2</f>
        <v>1280</v>
      </c>
      <c r="K575" s="80">
        <f t="shared" ref="K575:O575" si="951">K567*2</f>
        <v>1370</v>
      </c>
      <c r="L575" s="80">
        <f t="shared" si="951"/>
        <v>1644</v>
      </c>
      <c r="M575" s="80">
        <f t="shared" si="951"/>
        <v>1900</v>
      </c>
      <c r="N575" s="80">
        <f t="shared" si="951"/>
        <v>2120</v>
      </c>
      <c r="O575" s="80">
        <f t="shared" si="951"/>
        <v>2340</v>
      </c>
      <c r="P575" s="81"/>
      <c r="Q575" s="81"/>
      <c r="R575" s="81"/>
      <c r="S575" s="81"/>
      <c r="T575" s="81"/>
      <c r="U575" s="81"/>
      <c r="V575" s="81"/>
      <c r="W575" s="81"/>
      <c r="X575" s="81"/>
      <c r="Y575" s="81"/>
      <c r="Z575" s="81"/>
      <c r="AA575" s="81"/>
      <c r="AB575" s="81"/>
      <c r="AC575" s="81"/>
      <c r="AD575" s="81"/>
      <c r="AE575" s="81"/>
      <c r="AF575" s="81"/>
    </row>
    <row r="576" spans="1:32">
      <c r="A576" s="76" t="s">
        <v>1310</v>
      </c>
      <c r="B576" s="79">
        <f>B567*2*1.1</f>
        <v>56320.000000000007</v>
      </c>
      <c r="C576" s="79">
        <f t="shared" ref="C576:I576" si="952">C567*2*1.1</f>
        <v>64350.000000000007</v>
      </c>
      <c r="D576" s="79">
        <f t="shared" si="952"/>
        <v>72380</v>
      </c>
      <c r="E576" s="79">
        <f t="shared" si="952"/>
        <v>80410</v>
      </c>
      <c r="F576" s="79">
        <f t="shared" si="952"/>
        <v>86900</v>
      </c>
      <c r="G576" s="79">
        <f t="shared" si="952"/>
        <v>93280.000000000015</v>
      </c>
      <c r="H576" s="79">
        <f t="shared" si="952"/>
        <v>99770.000000000015</v>
      </c>
      <c r="I576" s="79">
        <f t="shared" si="952"/>
        <v>106150.00000000001</v>
      </c>
      <c r="J576" s="80">
        <f t="shared" ref="J576:J584" si="953">TRUNC(B576/12*0.3)</f>
        <v>1408</v>
      </c>
      <c r="K576" s="80">
        <f t="shared" ref="K576:K584" si="954">TRUNC((B576+C576)/2/12*0.3)</f>
        <v>1508</v>
      </c>
      <c r="L576" s="80">
        <f t="shared" ref="L576:L584" si="955">TRUNC((D576)/12*0.3)</f>
        <v>1809</v>
      </c>
      <c r="M576" s="80">
        <f t="shared" ref="M576:M584" si="956">TRUNC(((E576+F576)/2)/12*0.3)</f>
        <v>2091</v>
      </c>
      <c r="N576" s="80">
        <f t="shared" ref="N576:N584" si="957">TRUNC(G576/12*0.3)</f>
        <v>2332</v>
      </c>
      <c r="O576" s="80">
        <f t="shared" ref="O576:O584" si="958">TRUNC(((H576+I576)/2)/12*0.3)</f>
        <v>2574</v>
      </c>
      <c r="P576" s="81"/>
      <c r="Q576" s="81"/>
      <c r="R576" s="81"/>
      <c r="S576" s="81"/>
      <c r="T576" s="81"/>
      <c r="U576" s="81"/>
      <c r="V576" s="81"/>
      <c r="W576" s="81"/>
      <c r="X576" s="81"/>
      <c r="Y576" s="81"/>
      <c r="Z576" s="81"/>
      <c r="AA576" s="81"/>
      <c r="AB576" s="81"/>
      <c r="AC576" s="81"/>
      <c r="AD576" s="81"/>
      <c r="AE576" s="81"/>
      <c r="AF576" s="81"/>
    </row>
    <row r="577" spans="1:32">
      <c r="A577" s="76" t="s">
        <v>1311</v>
      </c>
      <c r="B577" s="79">
        <f>B567*2*1.2</f>
        <v>61440</v>
      </c>
      <c r="C577" s="79">
        <f t="shared" ref="C577:I577" si="959">C567*2*1.2</f>
        <v>70200</v>
      </c>
      <c r="D577" s="79">
        <f t="shared" si="959"/>
        <v>78960</v>
      </c>
      <c r="E577" s="79">
        <f t="shared" si="959"/>
        <v>87720</v>
      </c>
      <c r="F577" s="79">
        <f t="shared" si="959"/>
        <v>94800</v>
      </c>
      <c r="G577" s="79">
        <f t="shared" si="959"/>
        <v>101760</v>
      </c>
      <c r="H577" s="79">
        <f t="shared" si="959"/>
        <v>108840</v>
      </c>
      <c r="I577" s="79">
        <f t="shared" si="959"/>
        <v>115800</v>
      </c>
      <c r="J577" s="80">
        <f t="shared" si="953"/>
        <v>1536</v>
      </c>
      <c r="K577" s="80">
        <f t="shared" si="954"/>
        <v>1645</v>
      </c>
      <c r="L577" s="80">
        <f t="shared" si="955"/>
        <v>1974</v>
      </c>
      <c r="M577" s="80">
        <f t="shared" si="956"/>
        <v>2281</v>
      </c>
      <c r="N577" s="80">
        <f t="shared" si="957"/>
        <v>2544</v>
      </c>
      <c r="O577" s="80">
        <f t="shared" si="958"/>
        <v>2808</v>
      </c>
      <c r="P577" s="81"/>
      <c r="Q577" s="81"/>
      <c r="R577" s="81"/>
      <c r="S577" s="81"/>
      <c r="T577" s="81"/>
      <c r="U577" s="81"/>
      <c r="V577" s="81"/>
      <c r="W577" s="81"/>
      <c r="X577" s="81"/>
      <c r="Y577" s="81"/>
      <c r="Z577" s="81"/>
      <c r="AA577" s="81"/>
      <c r="AB577" s="81"/>
      <c r="AC577" s="81"/>
      <c r="AD577" s="81"/>
      <c r="AE577" s="81"/>
      <c r="AF577" s="81"/>
    </row>
    <row r="578" spans="1:32">
      <c r="A578" s="76" t="s">
        <v>1312</v>
      </c>
      <c r="B578" s="79">
        <f>B585*2*0.15</f>
        <v>8295</v>
      </c>
      <c r="C578" s="79">
        <f>C585*2*0.15</f>
        <v>9480</v>
      </c>
      <c r="D578" s="79">
        <f>D585*2*0.15</f>
        <v>10665</v>
      </c>
      <c r="E578" s="79">
        <f>E585*2*0.15</f>
        <v>11850</v>
      </c>
      <c r="F578" s="79">
        <f>F585*2*0.15</f>
        <v>12810</v>
      </c>
      <c r="G578" s="79">
        <f t="shared" ref="G578:I578" si="960">G585*2*0.15</f>
        <v>13755</v>
      </c>
      <c r="H578" s="79">
        <f t="shared" si="960"/>
        <v>14700</v>
      </c>
      <c r="I578" s="79">
        <f t="shared" si="960"/>
        <v>15645</v>
      </c>
      <c r="J578" s="80">
        <f t="shared" si="953"/>
        <v>207</v>
      </c>
      <c r="K578" s="80">
        <f t="shared" si="954"/>
        <v>222</v>
      </c>
      <c r="L578" s="80">
        <f t="shared" si="955"/>
        <v>266</v>
      </c>
      <c r="M578" s="80">
        <f t="shared" si="956"/>
        <v>308</v>
      </c>
      <c r="N578" s="80">
        <f t="shared" si="957"/>
        <v>343</v>
      </c>
      <c r="O578" s="80">
        <f t="shared" si="958"/>
        <v>379</v>
      </c>
      <c r="P578" s="81"/>
      <c r="Q578" s="81"/>
      <c r="R578" s="81"/>
      <c r="S578" s="81"/>
      <c r="T578" s="81"/>
      <c r="U578" s="81"/>
      <c r="V578" s="81"/>
      <c r="W578" s="81"/>
      <c r="X578" s="81"/>
      <c r="Y578" s="81"/>
      <c r="Z578" s="81"/>
      <c r="AA578" s="81"/>
      <c r="AB578" s="81"/>
      <c r="AC578" s="81"/>
      <c r="AD578" s="81"/>
      <c r="AE578" s="81"/>
      <c r="AF578" s="81"/>
    </row>
    <row r="579" spans="1:32">
      <c r="A579" s="76" t="s">
        <v>1313</v>
      </c>
      <c r="B579" s="79">
        <f>B585*2*0.2</f>
        <v>11060</v>
      </c>
      <c r="C579" s="79">
        <f t="shared" ref="C579:I579" si="961">C585*2*0.2</f>
        <v>12640</v>
      </c>
      <c r="D579" s="79">
        <f t="shared" si="961"/>
        <v>14220</v>
      </c>
      <c r="E579" s="79">
        <f t="shared" si="961"/>
        <v>15800</v>
      </c>
      <c r="F579" s="79">
        <f t="shared" si="961"/>
        <v>17080</v>
      </c>
      <c r="G579" s="79">
        <f t="shared" si="961"/>
        <v>18340</v>
      </c>
      <c r="H579" s="79">
        <f t="shared" si="961"/>
        <v>19600</v>
      </c>
      <c r="I579" s="79">
        <f t="shared" si="961"/>
        <v>20860</v>
      </c>
      <c r="J579" s="80">
        <f t="shared" si="953"/>
        <v>276</v>
      </c>
      <c r="K579" s="80">
        <f t="shared" si="954"/>
        <v>296</v>
      </c>
      <c r="L579" s="80">
        <f t="shared" si="955"/>
        <v>355</v>
      </c>
      <c r="M579" s="80">
        <f t="shared" si="956"/>
        <v>411</v>
      </c>
      <c r="N579" s="80">
        <f t="shared" si="957"/>
        <v>458</v>
      </c>
      <c r="O579" s="80">
        <f t="shared" si="958"/>
        <v>505</v>
      </c>
      <c r="P579" s="81"/>
      <c r="Q579" s="81"/>
      <c r="R579" s="81"/>
      <c r="S579" s="81"/>
      <c r="T579" s="81"/>
      <c r="U579" s="81"/>
      <c r="V579" s="81"/>
      <c r="W579" s="81"/>
      <c r="X579" s="81"/>
      <c r="Y579" s="81"/>
      <c r="Z579" s="81"/>
      <c r="AA579" s="81"/>
      <c r="AB579" s="81"/>
      <c r="AC579" s="81"/>
      <c r="AD579" s="81"/>
      <c r="AE579" s="81"/>
      <c r="AF579" s="81"/>
    </row>
    <row r="580" spans="1:32">
      <c r="A580" s="76" t="s">
        <v>1314</v>
      </c>
      <c r="B580" s="79">
        <f>B585*2*0.25</f>
        <v>13825</v>
      </c>
      <c r="C580" s="79">
        <f t="shared" ref="C580:I580" si="962">C585*2*0.25</f>
        <v>15800</v>
      </c>
      <c r="D580" s="79">
        <f t="shared" si="962"/>
        <v>17775</v>
      </c>
      <c r="E580" s="79">
        <f t="shared" si="962"/>
        <v>19750</v>
      </c>
      <c r="F580" s="79">
        <f t="shared" si="962"/>
        <v>21350</v>
      </c>
      <c r="G580" s="79">
        <f t="shared" si="962"/>
        <v>22925</v>
      </c>
      <c r="H580" s="79">
        <f t="shared" si="962"/>
        <v>24500</v>
      </c>
      <c r="I580" s="79">
        <f t="shared" si="962"/>
        <v>26075</v>
      </c>
      <c r="J580" s="80">
        <f t="shared" si="953"/>
        <v>345</v>
      </c>
      <c r="K580" s="80">
        <f t="shared" si="954"/>
        <v>370</v>
      </c>
      <c r="L580" s="80">
        <f t="shared" si="955"/>
        <v>444</v>
      </c>
      <c r="M580" s="80">
        <f t="shared" si="956"/>
        <v>513</v>
      </c>
      <c r="N580" s="80">
        <f t="shared" si="957"/>
        <v>573</v>
      </c>
      <c r="O580" s="80">
        <f t="shared" si="958"/>
        <v>632</v>
      </c>
      <c r="P580" s="81"/>
      <c r="Q580" s="81"/>
      <c r="R580" s="81"/>
      <c r="S580" s="81"/>
      <c r="T580" s="81"/>
      <c r="U580" s="81"/>
      <c r="V580" s="81"/>
      <c r="W580" s="81"/>
      <c r="X580" s="81"/>
      <c r="Y580" s="81"/>
      <c r="Z580" s="81"/>
      <c r="AA580" s="81"/>
      <c r="AB580" s="81"/>
      <c r="AC580" s="81"/>
      <c r="AD580" s="81"/>
      <c r="AE580" s="81"/>
      <c r="AF580" s="81"/>
    </row>
    <row r="581" spans="1:32">
      <c r="A581" s="76" t="s">
        <v>1315</v>
      </c>
      <c r="B581" s="79">
        <f>B585*2*0.3</f>
        <v>16590</v>
      </c>
      <c r="C581" s="79">
        <f t="shared" ref="C581:I581" si="963">C585*2*0.3</f>
        <v>18960</v>
      </c>
      <c r="D581" s="79">
        <f t="shared" si="963"/>
        <v>21330</v>
      </c>
      <c r="E581" s="79">
        <f t="shared" si="963"/>
        <v>23700</v>
      </c>
      <c r="F581" s="79">
        <f t="shared" si="963"/>
        <v>25620</v>
      </c>
      <c r="G581" s="79">
        <f t="shared" si="963"/>
        <v>27510</v>
      </c>
      <c r="H581" s="79">
        <f t="shared" si="963"/>
        <v>29400</v>
      </c>
      <c r="I581" s="79">
        <f t="shared" si="963"/>
        <v>31290</v>
      </c>
      <c r="J581" s="80">
        <f t="shared" si="953"/>
        <v>414</v>
      </c>
      <c r="K581" s="80">
        <f t="shared" si="954"/>
        <v>444</v>
      </c>
      <c r="L581" s="80">
        <f t="shared" si="955"/>
        <v>533</v>
      </c>
      <c r="M581" s="80">
        <f t="shared" si="956"/>
        <v>616</v>
      </c>
      <c r="N581" s="80">
        <f t="shared" si="957"/>
        <v>687</v>
      </c>
      <c r="O581" s="80">
        <f t="shared" si="958"/>
        <v>758</v>
      </c>
      <c r="P581" s="81"/>
      <c r="Q581" s="81"/>
      <c r="R581" s="81"/>
      <c r="S581" s="81"/>
      <c r="T581" s="81"/>
      <c r="U581" s="81"/>
      <c r="V581" s="81"/>
      <c r="W581" s="81"/>
      <c r="X581" s="81"/>
      <c r="Y581" s="81"/>
      <c r="Z581" s="81"/>
      <c r="AA581" s="81"/>
      <c r="AB581" s="81"/>
      <c r="AC581" s="81"/>
      <c r="AD581" s="81"/>
      <c r="AE581" s="81"/>
      <c r="AF581" s="81"/>
    </row>
    <row r="582" spans="1:32">
      <c r="A582" s="76" t="s">
        <v>1316</v>
      </c>
      <c r="B582" s="79">
        <f>B585*2*0.35</f>
        <v>19355</v>
      </c>
      <c r="C582" s="79">
        <f t="shared" ref="C582:I582" si="964">C585*2*0.35</f>
        <v>22120</v>
      </c>
      <c r="D582" s="79">
        <f t="shared" si="964"/>
        <v>24885</v>
      </c>
      <c r="E582" s="79">
        <f t="shared" si="964"/>
        <v>27650</v>
      </c>
      <c r="F582" s="79">
        <f t="shared" si="964"/>
        <v>29889.999999999996</v>
      </c>
      <c r="G582" s="79">
        <f t="shared" si="964"/>
        <v>32094.999999999996</v>
      </c>
      <c r="H582" s="79">
        <f t="shared" si="964"/>
        <v>34300</v>
      </c>
      <c r="I582" s="79">
        <f t="shared" si="964"/>
        <v>36505</v>
      </c>
      <c r="J582" s="80">
        <f t="shared" si="953"/>
        <v>483</v>
      </c>
      <c r="K582" s="80">
        <f t="shared" si="954"/>
        <v>518</v>
      </c>
      <c r="L582" s="80">
        <f t="shared" si="955"/>
        <v>622</v>
      </c>
      <c r="M582" s="80">
        <f t="shared" si="956"/>
        <v>719</v>
      </c>
      <c r="N582" s="80">
        <f t="shared" si="957"/>
        <v>802</v>
      </c>
      <c r="O582" s="80">
        <f t="shared" si="958"/>
        <v>885</v>
      </c>
      <c r="P582" s="81"/>
      <c r="Q582" s="81"/>
      <c r="R582" s="81"/>
      <c r="S582" s="81"/>
      <c r="T582" s="81"/>
      <c r="U582" s="81"/>
      <c r="V582" s="81"/>
      <c r="W582" s="81"/>
      <c r="X582" s="81"/>
      <c r="Y582" s="81"/>
      <c r="Z582" s="81"/>
      <c r="AA582" s="81"/>
      <c r="AB582" s="81"/>
      <c r="AC582" s="81"/>
      <c r="AD582" s="81"/>
      <c r="AE582" s="81"/>
      <c r="AF582" s="81"/>
    </row>
    <row r="583" spans="1:32">
      <c r="A583" s="76" t="s">
        <v>1317</v>
      </c>
      <c r="B583" s="79">
        <f>B585*2*0.4</f>
        <v>22120</v>
      </c>
      <c r="C583" s="79">
        <f t="shared" ref="C583:I583" si="965">C585*2*0.4</f>
        <v>25280</v>
      </c>
      <c r="D583" s="79">
        <f t="shared" si="965"/>
        <v>28440</v>
      </c>
      <c r="E583" s="79">
        <f t="shared" si="965"/>
        <v>31600</v>
      </c>
      <c r="F583" s="79">
        <f t="shared" si="965"/>
        <v>34160</v>
      </c>
      <c r="G583" s="79">
        <f t="shared" si="965"/>
        <v>36680</v>
      </c>
      <c r="H583" s="79">
        <f t="shared" si="965"/>
        <v>39200</v>
      </c>
      <c r="I583" s="79">
        <f t="shared" si="965"/>
        <v>41720</v>
      </c>
      <c r="J583" s="80">
        <f t="shared" si="953"/>
        <v>553</v>
      </c>
      <c r="K583" s="80">
        <f t="shared" si="954"/>
        <v>592</v>
      </c>
      <c r="L583" s="80">
        <f t="shared" si="955"/>
        <v>711</v>
      </c>
      <c r="M583" s="80">
        <f t="shared" si="956"/>
        <v>822</v>
      </c>
      <c r="N583" s="80">
        <f t="shared" si="957"/>
        <v>917</v>
      </c>
      <c r="O583" s="80">
        <f t="shared" si="958"/>
        <v>1011</v>
      </c>
      <c r="P583" s="81"/>
      <c r="Q583" s="81"/>
      <c r="R583" s="81"/>
      <c r="S583" s="81"/>
      <c r="T583" s="81"/>
      <c r="U583" s="81"/>
      <c r="V583" s="81"/>
      <c r="W583" s="81"/>
      <c r="X583" s="81"/>
      <c r="Y583" s="81"/>
      <c r="Z583" s="81"/>
      <c r="AA583" s="81"/>
      <c r="AB583" s="81"/>
      <c r="AC583" s="81"/>
      <c r="AD583" s="81"/>
      <c r="AE583" s="81"/>
      <c r="AF583" s="81"/>
    </row>
    <row r="584" spans="1:32">
      <c r="A584" s="76" t="s">
        <v>1318</v>
      </c>
      <c r="B584" s="79">
        <f>B585*2*0.45</f>
        <v>24885</v>
      </c>
      <c r="C584" s="79">
        <f t="shared" ref="C584:I584" si="966">C585*2*0.45</f>
        <v>28440</v>
      </c>
      <c r="D584" s="79">
        <f t="shared" si="966"/>
        <v>31995</v>
      </c>
      <c r="E584" s="79">
        <f t="shared" si="966"/>
        <v>35550</v>
      </c>
      <c r="F584" s="79">
        <f t="shared" si="966"/>
        <v>38430</v>
      </c>
      <c r="G584" s="79">
        <f t="shared" si="966"/>
        <v>41265</v>
      </c>
      <c r="H584" s="79">
        <f t="shared" si="966"/>
        <v>44100</v>
      </c>
      <c r="I584" s="79">
        <f t="shared" si="966"/>
        <v>46935</v>
      </c>
      <c r="J584" s="80">
        <f t="shared" si="953"/>
        <v>622</v>
      </c>
      <c r="K584" s="80">
        <f t="shared" si="954"/>
        <v>666</v>
      </c>
      <c r="L584" s="80">
        <f t="shared" si="955"/>
        <v>799</v>
      </c>
      <c r="M584" s="80">
        <f t="shared" si="956"/>
        <v>924</v>
      </c>
      <c r="N584" s="80">
        <f t="shared" si="957"/>
        <v>1031</v>
      </c>
      <c r="O584" s="80">
        <f t="shared" si="958"/>
        <v>1137</v>
      </c>
      <c r="P584" s="81"/>
      <c r="Q584" s="81"/>
      <c r="R584" s="81"/>
      <c r="S584" s="81"/>
      <c r="T584" s="81"/>
      <c r="U584" s="81"/>
      <c r="V584" s="81"/>
      <c r="W584" s="81"/>
      <c r="X584" s="81"/>
      <c r="Y584" s="81"/>
      <c r="Z584" s="81"/>
      <c r="AA584" s="81"/>
      <c r="AB584" s="81"/>
      <c r="AC584" s="81"/>
      <c r="AD584" s="81"/>
      <c r="AE584" s="81"/>
      <c r="AF584" s="81"/>
    </row>
    <row r="585" spans="1:32">
      <c r="A585" s="82" t="s">
        <v>1319</v>
      </c>
      <c r="B585" s="84">
        <f>'MTSP 50% Income Limits '!B34</f>
        <v>27650</v>
      </c>
      <c r="C585" s="84">
        <f>'MTSP 50% Income Limits '!C34</f>
        <v>31600</v>
      </c>
      <c r="D585" s="84">
        <f>'MTSP 50% Income Limits '!D34</f>
        <v>35550</v>
      </c>
      <c r="E585" s="84">
        <f>'MTSP 50% Income Limits '!E34</f>
        <v>39500</v>
      </c>
      <c r="F585" s="84">
        <f>'MTSP 50% Income Limits '!F34</f>
        <v>42700</v>
      </c>
      <c r="G585" s="84">
        <f>'MTSP 50% Income Limits '!G34</f>
        <v>45850</v>
      </c>
      <c r="H585" s="84">
        <f>'MTSP 50% Income Limits '!H34</f>
        <v>49000</v>
      </c>
      <c r="I585" s="84">
        <f>'MTSP 50% Income Limits '!I34</f>
        <v>52150</v>
      </c>
      <c r="J585" s="83">
        <f>TRUNC(B585/12*0.3)</f>
        <v>691</v>
      </c>
      <c r="K585" s="83">
        <f>TRUNC((B585+C585)/2/12*0.3)</f>
        <v>740</v>
      </c>
      <c r="L585" s="83">
        <f>TRUNC((D585)/12*0.3)</f>
        <v>888</v>
      </c>
      <c r="M585" s="83">
        <f>TRUNC(((E585+F585)/2)/12*0.3)</f>
        <v>1027</v>
      </c>
      <c r="N585" s="83">
        <f>TRUNC(G585/12*0.3)</f>
        <v>1146</v>
      </c>
      <c r="O585" s="83">
        <f>TRUNC(((H585+I585)/2)/12*0.3)</f>
        <v>1264</v>
      </c>
      <c r="P585" s="81"/>
      <c r="Q585" s="81"/>
      <c r="R585" s="81"/>
      <c r="S585" s="81"/>
      <c r="T585" s="81"/>
      <c r="U585" s="81"/>
      <c r="V585" s="81"/>
      <c r="W585" s="81"/>
      <c r="X585" s="81"/>
      <c r="Y585" s="81"/>
      <c r="Z585" s="81"/>
      <c r="AA585" s="81"/>
      <c r="AB585" s="81"/>
      <c r="AC585" s="81"/>
      <c r="AD585" s="81"/>
      <c r="AE585" s="81"/>
      <c r="AF585" s="81"/>
    </row>
    <row r="586" spans="1:32">
      <c r="A586" s="76" t="s">
        <v>1320</v>
      </c>
      <c r="B586" s="79">
        <f>B585*2*0.55</f>
        <v>30415.000000000004</v>
      </c>
      <c r="C586" s="79">
        <f t="shared" ref="C586:I586" si="967">C585*2*0.55</f>
        <v>34760</v>
      </c>
      <c r="D586" s="79">
        <f t="shared" si="967"/>
        <v>39105</v>
      </c>
      <c r="E586" s="79">
        <f t="shared" si="967"/>
        <v>43450</v>
      </c>
      <c r="F586" s="79">
        <f t="shared" si="967"/>
        <v>46970.000000000007</v>
      </c>
      <c r="G586" s="79">
        <f t="shared" si="967"/>
        <v>50435.000000000007</v>
      </c>
      <c r="H586" s="79">
        <f t="shared" si="967"/>
        <v>53900.000000000007</v>
      </c>
      <c r="I586" s="79">
        <f t="shared" si="967"/>
        <v>57365.000000000007</v>
      </c>
      <c r="J586" s="80">
        <f t="shared" ref="J586:J592" si="968">TRUNC(B586/12*0.3)</f>
        <v>760</v>
      </c>
      <c r="K586" s="80">
        <f t="shared" ref="K586:K592" si="969">TRUNC((B586+C586)/2/12*0.3)</f>
        <v>814</v>
      </c>
      <c r="L586" s="80">
        <f t="shared" ref="L586:L592" si="970">TRUNC((D586)/12*0.3)</f>
        <v>977</v>
      </c>
      <c r="M586" s="80">
        <f t="shared" ref="M586:M592" si="971">TRUNC(((E586+F586)/2)/12*0.3)</f>
        <v>1130</v>
      </c>
      <c r="N586" s="80">
        <f t="shared" ref="N586:N592" si="972">TRUNC(G586/12*0.3)</f>
        <v>1260</v>
      </c>
      <c r="O586" s="80">
        <f t="shared" ref="O586:O592" si="973">TRUNC(((H586+I586)/2)/12*0.3)</f>
        <v>1390</v>
      </c>
      <c r="P586" s="81"/>
      <c r="Q586" s="81"/>
      <c r="R586" s="81"/>
      <c r="S586" s="81"/>
      <c r="T586" s="81"/>
      <c r="U586" s="81"/>
      <c r="V586" s="81"/>
      <c r="W586" s="81"/>
      <c r="X586" s="81"/>
      <c r="Y586" s="81"/>
      <c r="Z586" s="81"/>
      <c r="AA586" s="81"/>
      <c r="AB586" s="81"/>
      <c r="AC586" s="81"/>
      <c r="AD586" s="81"/>
      <c r="AE586" s="81"/>
      <c r="AF586" s="81"/>
    </row>
    <row r="587" spans="1:32">
      <c r="A587" s="76" t="s">
        <v>1321</v>
      </c>
      <c r="B587" s="79">
        <f>B585*2*0.6</f>
        <v>33180</v>
      </c>
      <c r="C587" s="79">
        <f t="shared" ref="C587:I587" si="974">C585*2*0.6</f>
        <v>37920</v>
      </c>
      <c r="D587" s="79">
        <f t="shared" si="974"/>
        <v>42660</v>
      </c>
      <c r="E587" s="79">
        <f t="shared" si="974"/>
        <v>47400</v>
      </c>
      <c r="F587" s="79">
        <f t="shared" si="974"/>
        <v>51240</v>
      </c>
      <c r="G587" s="79">
        <f t="shared" si="974"/>
        <v>55020</v>
      </c>
      <c r="H587" s="79">
        <f t="shared" si="974"/>
        <v>58800</v>
      </c>
      <c r="I587" s="79">
        <f t="shared" si="974"/>
        <v>62580</v>
      </c>
      <c r="J587" s="80">
        <f t="shared" si="968"/>
        <v>829</v>
      </c>
      <c r="K587" s="80">
        <f t="shared" si="969"/>
        <v>888</v>
      </c>
      <c r="L587" s="80">
        <f t="shared" si="970"/>
        <v>1066</v>
      </c>
      <c r="M587" s="80">
        <f t="shared" si="971"/>
        <v>1233</v>
      </c>
      <c r="N587" s="80">
        <f t="shared" si="972"/>
        <v>1375</v>
      </c>
      <c r="O587" s="80">
        <f t="shared" si="973"/>
        <v>1517</v>
      </c>
      <c r="P587" s="81"/>
      <c r="Q587" s="81"/>
      <c r="R587" s="81"/>
      <c r="S587" s="81"/>
      <c r="T587" s="81"/>
      <c r="U587" s="81"/>
      <c r="V587" s="81"/>
      <c r="W587" s="81"/>
      <c r="X587" s="81"/>
      <c r="Y587" s="81"/>
      <c r="Z587" s="81"/>
      <c r="AA587" s="81"/>
      <c r="AB587" s="81"/>
      <c r="AC587" s="81"/>
      <c r="AD587" s="81"/>
      <c r="AE587" s="81"/>
      <c r="AF587" s="81"/>
    </row>
    <row r="588" spans="1:32">
      <c r="A588" s="76" t="s">
        <v>1322</v>
      </c>
      <c r="B588" s="79">
        <f>B585*2*0.65</f>
        <v>35945</v>
      </c>
      <c r="C588" s="79">
        <f t="shared" ref="C588:I588" si="975">C585*2*0.65</f>
        <v>41080</v>
      </c>
      <c r="D588" s="79">
        <f t="shared" si="975"/>
        <v>46215</v>
      </c>
      <c r="E588" s="79">
        <f t="shared" si="975"/>
        <v>51350</v>
      </c>
      <c r="F588" s="79">
        <f t="shared" si="975"/>
        <v>55510</v>
      </c>
      <c r="G588" s="79">
        <f t="shared" si="975"/>
        <v>59605</v>
      </c>
      <c r="H588" s="79">
        <f t="shared" si="975"/>
        <v>63700</v>
      </c>
      <c r="I588" s="79">
        <f t="shared" si="975"/>
        <v>67795</v>
      </c>
      <c r="J588" s="80">
        <f t="shared" si="968"/>
        <v>898</v>
      </c>
      <c r="K588" s="80">
        <f t="shared" si="969"/>
        <v>962</v>
      </c>
      <c r="L588" s="80">
        <f t="shared" si="970"/>
        <v>1155</v>
      </c>
      <c r="M588" s="80">
        <f t="shared" si="971"/>
        <v>1335</v>
      </c>
      <c r="N588" s="80">
        <f t="shared" si="972"/>
        <v>1490</v>
      </c>
      <c r="O588" s="80">
        <f t="shared" si="973"/>
        <v>1643</v>
      </c>
      <c r="P588" s="81"/>
      <c r="Q588" s="81"/>
      <c r="R588" s="81"/>
      <c r="S588" s="81"/>
      <c r="T588" s="81"/>
      <c r="U588" s="81"/>
      <c r="V588" s="81"/>
      <c r="W588" s="81"/>
      <c r="X588" s="81"/>
      <c r="Y588" s="81"/>
      <c r="Z588" s="81"/>
      <c r="AA588" s="81"/>
      <c r="AB588" s="81"/>
      <c r="AC588" s="81"/>
      <c r="AD588" s="81"/>
      <c r="AE588" s="81"/>
      <c r="AF588" s="81"/>
    </row>
    <row r="589" spans="1:32">
      <c r="A589" s="76" t="s">
        <v>1323</v>
      </c>
      <c r="B589" s="79">
        <f>B585*2*0.7</f>
        <v>38710</v>
      </c>
      <c r="C589" s="79">
        <f t="shared" ref="C589:I589" si="976">C585*2*0.7</f>
        <v>44240</v>
      </c>
      <c r="D589" s="79">
        <f t="shared" si="976"/>
        <v>49770</v>
      </c>
      <c r="E589" s="79">
        <f t="shared" si="976"/>
        <v>55300</v>
      </c>
      <c r="F589" s="79">
        <f t="shared" si="976"/>
        <v>59779.999999999993</v>
      </c>
      <c r="G589" s="79">
        <f t="shared" si="976"/>
        <v>64189.999999999993</v>
      </c>
      <c r="H589" s="79">
        <f t="shared" si="976"/>
        <v>68600</v>
      </c>
      <c r="I589" s="79">
        <f t="shared" si="976"/>
        <v>73010</v>
      </c>
      <c r="J589" s="80">
        <f t="shared" si="968"/>
        <v>967</v>
      </c>
      <c r="K589" s="80">
        <f t="shared" si="969"/>
        <v>1036</v>
      </c>
      <c r="L589" s="80">
        <f t="shared" si="970"/>
        <v>1244</v>
      </c>
      <c r="M589" s="80">
        <f t="shared" si="971"/>
        <v>1438</v>
      </c>
      <c r="N589" s="80">
        <f t="shared" si="972"/>
        <v>1604</v>
      </c>
      <c r="O589" s="80">
        <f t="shared" si="973"/>
        <v>1770</v>
      </c>
      <c r="P589" s="81"/>
      <c r="Q589" s="81"/>
      <c r="R589" s="81"/>
      <c r="S589" s="81"/>
      <c r="T589" s="81"/>
      <c r="U589" s="81"/>
      <c r="V589" s="81"/>
      <c r="W589" s="81"/>
      <c r="X589" s="81"/>
      <c r="Y589" s="81"/>
      <c r="Z589" s="81"/>
      <c r="AA589" s="81"/>
      <c r="AB589" s="81"/>
      <c r="AC589" s="81"/>
      <c r="AD589" s="81"/>
      <c r="AE589" s="81"/>
      <c r="AF589" s="81"/>
    </row>
    <row r="590" spans="1:32">
      <c r="A590" s="76" t="s">
        <v>1324</v>
      </c>
      <c r="B590" s="79">
        <f>B585*2*0.75</f>
        <v>41475</v>
      </c>
      <c r="C590" s="79">
        <f t="shared" ref="C590:I590" si="977">C585*2*0.75</f>
        <v>47400</v>
      </c>
      <c r="D590" s="79">
        <f t="shared" si="977"/>
        <v>53325</v>
      </c>
      <c r="E590" s="79">
        <f t="shared" si="977"/>
        <v>59250</v>
      </c>
      <c r="F590" s="79">
        <f t="shared" si="977"/>
        <v>64050</v>
      </c>
      <c r="G590" s="79">
        <f t="shared" si="977"/>
        <v>68775</v>
      </c>
      <c r="H590" s="79">
        <f t="shared" si="977"/>
        <v>73500</v>
      </c>
      <c r="I590" s="79">
        <f t="shared" si="977"/>
        <v>78225</v>
      </c>
      <c r="J590" s="80">
        <f t="shared" si="968"/>
        <v>1036</v>
      </c>
      <c r="K590" s="80">
        <f t="shared" si="969"/>
        <v>1110</v>
      </c>
      <c r="L590" s="80">
        <f t="shared" si="970"/>
        <v>1333</v>
      </c>
      <c r="M590" s="80">
        <f t="shared" si="971"/>
        <v>1541</v>
      </c>
      <c r="N590" s="80">
        <f t="shared" si="972"/>
        <v>1719</v>
      </c>
      <c r="O590" s="80">
        <f t="shared" si="973"/>
        <v>1896</v>
      </c>
      <c r="P590" s="81"/>
      <c r="Q590" s="81"/>
      <c r="R590" s="81"/>
      <c r="S590" s="81"/>
      <c r="T590" s="81"/>
      <c r="U590" s="81"/>
      <c r="V590" s="81"/>
      <c r="W590" s="81"/>
      <c r="X590" s="81"/>
      <c r="Y590" s="81"/>
      <c r="Z590" s="81"/>
      <c r="AA590" s="81"/>
      <c r="AB590" s="81"/>
      <c r="AC590" s="81"/>
      <c r="AD590" s="81"/>
      <c r="AE590" s="81"/>
      <c r="AF590" s="81"/>
    </row>
    <row r="591" spans="1:32">
      <c r="A591" s="76" t="s">
        <v>1325</v>
      </c>
      <c r="B591" s="79">
        <f>B585*2*0.8</f>
        <v>44240</v>
      </c>
      <c r="C591" s="79">
        <f t="shared" ref="C591:I591" si="978">C585*2*0.8</f>
        <v>50560</v>
      </c>
      <c r="D591" s="79">
        <f t="shared" si="978"/>
        <v>56880</v>
      </c>
      <c r="E591" s="79">
        <f t="shared" si="978"/>
        <v>63200</v>
      </c>
      <c r="F591" s="79">
        <f t="shared" si="978"/>
        <v>68320</v>
      </c>
      <c r="G591" s="79">
        <f t="shared" si="978"/>
        <v>73360</v>
      </c>
      <c r="H591" s="79">
        <f t="shared" si="978"/>
        <v>78400</v>
      </c>
      <c r="I591" s="79">
        <f t="shared" si="978"/>
        <v>83440</v>
      </c>
      <c r="J591" s="80">
        <f t="shared" si="968"/>
        <v>1106</v>
      </c>
      <c r="K591" s="80">
        <f t="shared" si="969"/>
        <v>1185</v>
      </c>
      <c r="L591" s="80">
        <f t="shared" si="970"/>
        <v>1422</v>
      </c>
      <c r="M591" s="80">
        <f t="shared" si="971"/>
        <v>1644</v>
      </c>
      <c r="N591" s="80">
        <f t="shared" si="972"/>
        <v>1834</v>
      </c>
      <c r="O591" s="80">
        <f t="shared" si="973"/>
        <v>2023</v>
      </c>
      <c r="P591" s="81"/>
      <c r="Q591" s="81"/>
      <c r="R591" s="81"/>
      <c r="S591" s="81"/>
      <c r="T591" s="81"/>
      <c r="U591" s="81"/>
      <c r="V591" s="81"/>
      <c r="W591" s="81"/>
      <c r="X591" s="81"/>
      <c r="Y591" s="81"/>
      <c r="Z591" s="81"/>
      <c r="AA591" s="81"/>
      <c r="AB591" s="81"/>
      <c r="AC591" s="81"/>
      <c r="AD591" s="81"/>
      <c r="AE591" s="81"/>
      <c r="AF591" s="81"/>
    </row>
    <row r="592" spans="1:32">
      <c r="A592" s="76" t="s">
        <v>1326</v>
      </c>
      <c r="B592" s="79">
        <f>B585*2*0.9</f>
        <v>49770</v>
      </c>
      <c r="C592" s="79">
        <f t="shared" ref="C592:I592" si="979">C585*2*0.9</f>
        <v>56880</v>
      </c>
      <c r="D592" s="79">
        <f t="shared" si="979"/>
        <v>63990</v>
      </c>
      <c r="E592" s="79">
        <f t="shared" si="979"/>
        <v>71100</v>
      </c>
      <c r="F592" s="79">
        <f t="shared" si="979"/>
        <v>76860</v>
      </c>
      <c r="G592" s="79">
        <f t="shared" si="979"/>
        <v>82530</v>
      </c>
      <c r="H592" s="79">
        <f t="shared" si="979"/>
        <v>88200</v>
      </c>
      <c r="I592" s="79">
        <f t="shared" si="979"/>
        <v>93870</v>
      </c>
      <c r="J592" s="80">
        <f t="shared" si="968"/>
        <v>1244</v>
      </c>
      <c r="K592" s="80">
        <f t="shared" si="969"/>
        <v>1333</v>
      </c>
      <c r="L592" s="80">
        <f t="shared" si="970"/>
        <v>1599</v>
      </c>
      <c r="M592" s="80">
        <f t="shared" si="971"/>
        <v>1849</v>
      </c>
      <c r="N592" s="80">
        <f t="shared" si="972"/>
        <v>2063</v>
      </c>
      <c r="O592" s="80">
        <f t="shared" si="973"/>
        <v>2275</v>
      </c>
      <c r="P592" s="81"/>
      <c r="Q592" s="81"/>
      <c r="R592" s="81"/>
      <c r="S592" s="81"/>
      <c r="T592" s="81"/>
      <c r="U592" s="81"/>
      <c r="V592" s="81"/>
      <c r="W592" s="81"/>
      <c r="X592" s="81"/>
      <c r="Y592" s="81"/>
      <c r="Z592" s="81"/>
      <c r="AA592" s="81"/>
      <c r="AB592" s="81"/>
      <c r="AC592" s="81"/>
      <c r="AD592" s="81"/>
      <c r="AE592" s="81"/>
      <c r="AF592" s="81"/>
    </row>
    <row r="593" spans="1:32">
      <c r="A593" s="76" t="s">
        <v>1327</v>
      </c>
      <c r="B593" s="79">
        <f>B585*2</f>
        <v>55300</v>
      </c>
      <c r="C593" s="79">
        <f t="shared" ref="C593:I593" si="980">C585*2</f>
        <v>63200</v>
      </c>
      <c r="D593" s="79">
        <f t="shared" si="980"/>
        <v>71100</v>
      </c>
      <c r="E593" s="79">
        <f t="shared" si="980"/>
        <v>79000</v>
      </c>
      <c r="F593" s="79">
        <f t="shared" si="980"/>
        <v>85400</v>
      </c>
      <c r="G593" s="79">
        <f t="shared" si="980"/>
        <v>91700</v>
      </c>
      <c r="H593" s="79">
        <f t="shared" si="980"/>
        <v>98000</v>
      </c>
      <c r="I593" s="79">
        <f t="shared" si="980"/>
        <v>104300</v>
      </c>
      <c r="J593" s="80">
        <f>J585*2</f>
        <v>1382</v>
      </c>
      <c r="K593" s="80">
        <f t="shared" ref="K593:O593" si="981">K585*2</f>
        <v>1480</v>
      </c>
      <c r="L593" s="80">
        <f t="shared" si="981"/>
        <v>1776</v>
      </c>
      <c r="M593" s="80">
        <f t="shared" si="981"/>
        <v>2054</v>
      </c>
      <c r="N593" s="80">
        <f t="shared" si="981"/>
        <v>2292</v>
      </c>
      <c r="O593" s="80">
        <f t="shared" si="981"/>
        <v>2528</v>
      </c>
      <c r="P593" s="81"/>
      <c r="Q593" s="81"/>
      <c r="R593" s="81"/>
      <c r="S593" s="81"/>
      <c r="T593" s="81"/>
      <c r="U593" s="81"/>
      <c r="V593" s="81"/>
      <c r="W593" s="81"/>
      <c r="X593" s="81"/>
      <c r="Y593" s="81"/>
      <c r="Z593" s="81"/>
      <c r="AA593" s="81"/>
      <c r="AB593" s="81"/>
      <c r="AC593" s="81"/>
      <c r="AD593" s="81"/>
      <c r="AE593" s="81"/>
      <c r="AF593" s="81"/>
    </row>
    <row r="594" spans="1:32">
      <c r="A594" s="76" t="s">
        <v>1328</v>
      </c>
      <c r="B594" s="79">
        <f>B585*2*1.1</f>
        <v>60830.000000000007</v>
      </c>
      <c r="C594" s="79">
        <f t="shared" ref="C594:I594" si="982">C585*2*1.1</f>
        <v>69520</v>
      </c>
      <c r="D594" s="79">
        <f t="shared" si="982"/>
        <v>78210</v>
      </c>
      <c r="E594" s="79">
        <f t="shared" si="982"/>
        <v>86900</v>
      </c>
      <c r="F594" s="79">
        <f t="shared" si="982"/>
        <v>93940.000000000015</v>
      </c>
      <c r="G594" s="79">
        <f t="shared" si="982"/>
        <v>100870.00000000001</v>
      </c>
      <c r="H594" s="79">
        <f t="shared" si="982"/>
        <v>107800.00000000001</v>
      </c>
      <c r="I594" s="79">
        <f t="shared" si="982"/>
        <v>114730.00000000001</v>
      </c>
      <c r="J594" s="80">
        <f t="shared" ref="J594:J602" si="983">TRUNC(B594/12*0.3)</f>
        <v>1520</v>
      </c>
      <c r="K594" s="80">
        <f t="shared" ref="K594:K602" si="984">TRUNC((B594+C594)/2/12*0.3)</f>
        <v>1629</v>
      </c>
      <c r="L594" s="80">
        <f t="shared" ref="L594:L602" si="985">TRUNC((D594)/12*0.3)</f>
        <v>1955</v>
      </c>
      <c r="M594" s="80">
        <f t="shared" ref="M594:M602" si="986">TRUNC(((E594+F594)/2)/12*0.3)</f>
        <v>2260</v>
      </c>
      <c r="N594" s="80">
        <f t="shared" ref="N594:N602" si="987">TRUNC(G594/12*0.3)</f>
        <v>2521</v>
      </c>
      <c r="O594" s="80">
        <f t="shared" ref="O594:O602" si="988">TRUNC(((H594+I594)/2)/12*0.3)</f>
        <v>2781</v>
      </c>
      <c r="P594" s="81"/>
      <c r="Q594" s="81"/>
      <c r="R594" s="81"/>
      <c r="S594" s="81"/>
      <c r="T594" s="81"/>
      <c r="U594" s="81"/>
      <c r="V594" s="81"/>
      <c r="W594" s="81"/>
      <c r="X594" s="81"/>
      <c r="Y594" s="81"/>
      <c r="Z594" s="81"/>
      <c r="AA594" s="81"/>
      <c r="AB594" s="81"/>
      <c r="AC594" s="81"/>
      <c r="AD594" s="81"/>
      <c r="AE594" s="81"/>
      <c r="AF594" s="81"/>
    </row>
    <row r="595" spans="1:32">
      <c r="A595" s="76" t="s">
        <v>1329</v>
      </c>
      <c r="B595" s="79">
        <f>B585*2*1.2</f>
        <v>66360</v>
      </c>
      <c r="C595" s="79">
        <f t="shared" ref="C595:I595" si="989">C585*2*1.2</f>
        <v>75840</v>
      </c>
      <c r="D595" s="79">
        <f t="shared" si="989"/>
        <v>85320</v>
      </c>
      <c r="E595" s="79">
        <f t="shared" si="989"/>
        <v>94800</v>
      </c>
      <c r="F595" s="79">
        <f t="shared" si="989"/>
        <v>102480</v>
      </c>
      <c r="G595" s="79">
        <f t="shared" si="989"/>
        <v>110040</v>
      </c>
      <c r="H595" s="79">
        <f t="shared" si="989"/>
        <v>117600</v>
      </c>
      <c r="I595" s="79">
        <f t="shared" si="989"/>
        <v>125160</v>
      </c>
      <c r="J595" s="80">
        <f t="shared" si="983"/>
        <v>1659</v>
      </c>
      <c r="K595" s="80">
        <f t="shared" si="984"/>
        <v>1777</v>
      </c>
      <c r="L595" s="80">
        <f t="shared" si="985"/>
        <v>2133</v>
      </c>
      <c r="M595" s="80">
        <f t="shared" si="986"/>
        <v>2466</v>
      </c>
      <c r="N595" s="80">
        <f t="shared" si="987"/>
        <v>2751</v>
      </c>
      <c r="O595" s="80">
        <f t="shared" si="988"/>
        <v>3034</v>
      </c>
      <c r="P595" s="81"/>
      <c r="Q595" s="81"/>
      <c r="R595" s="81"/>
      <c r="S595" s="81"/>
      <c r="T595" s="81"/>
      <c r="U595" s="81"/>
      <c r="V595" s="81"/>
      <c r="W595" s="81"/>
      <c r="X595" s="81"/>
      <c r="Y595" s="81"/>
      <c r="Z595" s="81"/>
      <c r="AA595" s="81"/>
      <c r="AB595" s="81"/>
      <c r="AC595" s="81"/>
      <c r="AD595" s="81"/>
      <c r="AE595" s="81"/>
      <c r="AF595" s="81"/>
    </row>
    <row r="596" spans="1:32">
      <c r="A596" s="76" t="s">
        <v>1330</v>
      </c>
      <c r="B596" s="79">
        <f>B603*2*0.15</f>
        <v>9525</v>
      </c>
      <c r="C596" s="79">
        <f>C603*2*0.15</f>
        <v>10875</v>
      </c>
      <c r="D596" s="79">
        <f>D603*2*0.15</f>
        <v>12240</v>
      </c>
      <c r="E596" s="79">
        <f>E603*2*0.15</f>
        <v>13590</v>
      </c>
      <c r="F596" s="79">
        <f>F603*2*0.15</f>
        <v>14685</v>
      </c>
      <c r="G596" s="79">
        <f t="shared" ref="G596:I596" si="990">G603*2*0.15</f>
        <v>15765</v>
      </c>
      <c r="H596" s="79">
        <f t="shared" si="990"/>
        <v>16860</v>
      </c>
      <c r="I596" s="79">
        <f t="shared" si="990"/>
        <v>17940</v>
      </c>
      <c r="J596" s="80">
        <f t="shared" si="983"/>
        <v>238</v>
      </c>
      <c r="K596" s="80">
        <f t="shared" si="984"/>
        <v>255</v>
      </c>
      <c r="L596" s="80">
        <f t="shared" si="985"/>
        <v>306</v>
      </c>
      <c r="M596" s="80">
        <f t="shared" si="986"/>
        <v>353</v>
      </c>
      <c r="N596" s="80">
        <f t="shared" si="987"/>
        <v>394</v>
      </c>
      <c r="O596" s="80">
        <f t="shared" si="988"/>
        <v>435</v>
      </c>
      <c r="P596" s="81"/>
      <c r="Q596" s="81"/>
      <c r="R596" s="81"/>
      <c r="S596" s="81"/>
      <c r="T596" s="81"/>
      <c r="U596" s="81"/>
      <c r="V596" s="81"/>
      <c r="W596" s="81"/>
      <c r="X596" s="81"/>
      <c r="Y596" s="81"/>
      <c r="Z596" s="81"/>
      <c r="AA596" s="81"/>
      <c r="AB596" s="81"/>
      <c r="AC596" s="81"/>
      <c r="AD596" s="81"/>
      <c r="AE596" s="81"/>
      <c r="AF596" s="81"/>
    </row>
    <row r="597" spans="1:32">
      <c r="A597" s="76" t="s">
        <v>1331</v>
      </c>
      <c r="B597" s="79">
        <f>B603*2*0.2</f>
        <v>12700</v>
      </c>
      <c r="C597" s="79">
        <f t="shared" ref="C597:I597" si="991">C603*2*0.2</f>
        <v>14500</v>
      </c>
      <c r="D597" s="79">
        <f t="shared" si="991"/>
        <v>16320</v>
      </c>
      <c r="E597" s="79">
        <f t="shared" si="991"/>
        <v>18120</v>
      </c>
      <c r="F597" s="79">
        <f t="shared" si="991"/>
        <v>19580</v>
      </c>
      <c r="G597" s="79">
        <f t="shared" si="991"/>
        <v>21020</v>
      </c>
      <c r="H597" s="79">
        <f t="shared" si="991"/>
        <v>22480</v>
      </c>
      <c r="I597" s="79">
        <f t="shared" si="991"/>
        <v>23920</v>
      </c>
      <c r="J597" s="80">
        <f t="shared" si="983"/>
        <v>317</v>
      </c>
      <c r="K597" s="80">
        <f t="shared" si="984"/>
        <v>340</v>
      </c>
      <c r="L597" s="80">
        <f t="shared" si="985"/>
        <v>408</v>
      </c>
      <c r="M597" s="80">
        <f t="shared" si="986"/>
        <v>471</v>
      </c>
      <c r="N597" s="80">
        <f t="shared" si="987"/>
        <v>525</v>
      </c>
      <c r="O597" s="80">
        <f t="shared" si="988"/>
        <v>580</v>
      </c>
      <c r="P597" s="81"/>
      <c r="Q597" s="81"/>
      <c r="R597" s="81"/>
      <c r="S597" s="81"/>
      <c r="T597" s="81"/>
      <c r="U597" s="81"/>
      <c r="V597" s="81"/>
      <c r="W597" s="81"/>
      <c r="X597" s="81"/>
      <c r="Y597" s="81"/>
      <c r="Z597" s="81"/>
      <c r="AA597" s="81"/>
      <c r="AB597" s="81"/>
      <c r="AC597" s="81"/>
      <c r="AD597" s="81"/>
      <c r="AE597" s="81"/>
      <c r="AF597" s="81"/>
    </row>
    <row r="598" spans="1:32">
      <c r="A598" s="76" t="s">
        <v>1332</v>
      </c>
      <c r="B598" s="79">
        <f>B603*2*0.25</f>
        <v>15875</v>
      </c>
      <c r="C598" s="79">
        <f t="shared" ref="C598:I598" si="992">C603*2*0.25</f>
        <v>18125</v>
      </c>
      <c r="D598" s="79">
        <f t="shared" si="992"/>
        <v>20400</v>
      </c>
      <c r="E598" s="79">
        <f t="shared" si="992"/>
        <v>22650</v>
      </c>
      <c r="F598" s="79">
        <f t="shared" si="992"/>
        <v>24475</v>
      </c>
      <c r="G598" s="79">
        <f t="shared" si="992"/>
        <v>26275</v>
      </c>
      <c r="H598" s="79">
        <f t="shared" si="992"/>
        <v>28100</v>
      </c>
      <c r="I598" s="79">
        <f t="shared" si="992"/>
        <v>29900</v>
      </c>
      <c r="J598" s="80">
        <f t="shared" si="983"/>
        <v>396</v>
      </c>
      <c r="K598" s="80">
        <f t="shared" si="984"/>
        <v>425</v>
      </c>
      <c r="L598" s="80">
        <f t="shared" si="985"/>
        <v>510</v>
      </c>
      <c r="M598" s="80">
        <f t="shared" si="986"/>
        <v>589</v>
      </c>
      <c r="N598" s="80">
        <f t="shared" si="987"/>
        <v>656</v>
      </c>
      <c r="O598" s="80">
        <f t="shared" si="988"/>
        <v>725</v>
      </c>
      <c r="P598" s="81"/>
      <c r="Q598" s="81"/>
      <c r="R598" s="81"/>
      <c r="S598" s="81"/>
      <c r="T598" s="81"/>
      <c r="U598" s="81"/>
      <c r="V598" s="81"/>
      <c r="W598" s="81"/>
      <c r="X598" s="81"/>
      <c r="Y598" s="81"/>
      <c r="Z598" s="81"/>
      <c r="AA598" s="81"/>
      <c r="AB598" s="81"/>
      <c r="AC598" s="81"/>
      <c r="AD598" s="81"/>
      <c r="AE598" s="81"/>
      <c r="AF598" s="81"/>
    </row>
    <row r="599" spans="1:32">
      <c r="A599" s="76" t="s">
        <v>1333</v>
      </c>
      <c r="B599" s="79">
        <f>B603*2*0.3</f>
        <v>19050</v>
      </c>
      <c r="C599" s="79">
        <f t="shared" ref="C599:I599" si="993">C603*2*0.3</f>
        <v>21750</v>
      </c>
      <c r="D599" s="79">
        <f t="shared" si="993"/>
        <v>24480</v>
      </c>
      <c r="E599" s="79">
        <f t="shared" si="993"/>
        <v>27180</v>
      </c>
      <c r="F599" s="79">
        <f t="shared" si="993"/>
        <v>29370</v>
      </c>
      <c r="G599" s="79">
        <f t="shared" si="993"/>
        <v>31530</v>
      </c>
      <c r="H599" s="79">
        <f t="shared" si="993"/>
        <v>33720</v>
      </c>
      <c r="I599" s="79">
        <f t="shared" si="993"/>
        <v>35880</v>
      </c>
      <c r="J599" s="80">
        <f t="shared" si="983"/>
        <v>476</v>
      </c>
      <c r="K599" s="80">
        <f t="shared" si="984"/>
        <v>510</v>
      </c>
      <c r="L599" s="80">
        <f t="shared" si="985"/>
        <v>612</v>
      </c>
      <c r="M599" s="80">
        <f t="shared" si="986"/>
        <v>706</v>
      </c>
      <c r="N599" s="80">
        <f t="shared" si="987"/>
        <v>788</v>
      </c>
      <c r="O599" s="80">
        <f t="shared" si="988"/>
        <v>870</v>
      </c>
      <c r="P599" s="81"/>
      <c r="Q599" s="81"/>
      <c r="R599" s="81"/>
      <c r="S599" s="81"/>
      <c r="T599" s="81"/>
      <c r="U599" s="81"/>
      <c r="V599" s="81"/>
      <c r="W599" s="81"/>
      <c r="X599" s="81"/>
      <c r="Y599" s="81"/>
      <c r="Z599" s="81"/>
      <c r="AA599" s="81"/>
      <c r="AB599" s="81"/>
      <c r="AC599" s="81"/>
      <c r="AD599" s="81"/>
      <c r="AE599" s="81"/>
      <c r="AF599" s="81"/>
    </row>
    <row r="600" spans="1:32">
      <c r="A600" s="76" t="s">
        <v>1334</v>
      </c>
      <c r="B600" s="79">
        <f>B603*2*0.35</f>
        <v>22225</v>
      </c>
      <c r="C600" s="79">
        <f t="shared" ref="C600:I600" si="994">C603*2*0.35</f>
        <v>25375</v>
      </c>
      <c r="D600" s="79">
        <f t="shared" si="994"/>
        <v>28560</v>
      </c>
      <c r="E600" s="79">
        <f t="shared" si="994"/>
        <v>31709.999999999996</v>
      </c>
      <c r="F600" s="79">
        <f t="shared" si="994"/>
        <v>34265</v>
      </c>
      <c r="G600" s="79">
        <f t="shared" si="994"/>
        <v>36785</v>
      </c>
      <c r="H600" s="79">
        <f t="shared" si="994"/>
        <v>39340</v>
      </c>
      <c r="I600" s="79">
        <f t="shared" si="994"/>
        <v>41860</v>
      </c>
      <c r="J600" s="80">
        <f t="shared" si="983"/>
        <v>555</v>
      </c>
      <c r="K600" s="80">
        <f t="shared" si="984"/>
        <v>595</v>
      </c>
      <c r="L600" s="80">
        <f t="shared" si="985"/>
        <v>714</v>
      </c>
      <c r="M600" s="80">
        <f t="shared" si="986"/>
        <v>824</v>
      </c>
      <c r="N600" s="80">
        <f t="shared" si="987"/>
        <v>919</v>
      </c>
      <c r="O600" s="80">
        <f t="shared" si="988"/>
        <v>1015</v>
      </c>
      <c r="P600" s="81"/>
      <c r="Q600" s="81"/>
      <c r="R600" s="81"/>
      <c r="S600" s="81"/>
      <c r="T600" s="81"/>
      <c r="U600" s="81"/>
      <c r="V600" s="81"/>
      <c r="W600" s="81"/>
      <c r="X600" s="81"/>
      <c r="Y600" s="81"/>
      <c r="Z600" s="81"/>
      <c r="AA600" s="81"/>
      <c r="AB600" s="81"/>
      <c r="AC600" s="81"/>
      <c r="AD600" s="81"/>
      <c r="AE600" s="81"/>
      <c r="AF600" s="81"/>
    </row>
    <row r="601" spans="1:32">
      <c r="A601" s="76" t="s">
        <v>1335</v>
      </c>
      <c r="B601" s="79">
        <f>B603*2*0.4</f>
        <v>25400</v>
      </c>
      <c r="C601" s="79">
        <f t="shared" ref="C601:I601" si="995">C603*2*0.4</f>
        <v>29000</v>
      </c>
      <c r="D601" s="79">
        <f t="shared" si="995"/>
        <v>32640</v>
      </c>
      <c r="E601" s="79">
        <f t="shared" si="995"/>
        <v>36240</v>
      </c>
      <c r="F601" s="79">
        <f t="shared" si="995"/>
        <v>39160</v>
      </c>
      <c r="G601" s="79">
        <f t="shared" si="995"/>
        <v>42040</v>
      </c>
      <c r="H601" s="79">
        <f t="shared" si="995"/>
        <v>44960</v>
      </c>
      <c r="I601" s="79">
        <f t="shared" si="995"/>
        <v>47840</v>
      </c>
      <c r="J601" s="80">
        <f t="shared" si="983"/>
        <v>635</v>
      </c>
      <c r="K601" s="80">
        <f t="shared" si="984"/>
        <v>680</v>
      </c>
      <c r="L601" s="80">
        <f t="shared" si="985"/>
        <v>816</v>
      </c>
      <c r="M601" s="80">
        <f t="shared" si="986"/>
        <v>942</v>
      </c>
      <c r="N601" s="80">
        <f t="shared" si="987"/>
        <v>1051</v>
      </c>
      <c r="O601" s="80">
        <f t="shared" si="988"/>
        <v>1160</v>
      </c>
      <c r="P601" s="81"/>
      <c r="Q601" s="81"/>
      <c r="R601" s="81"/>
      <c r="S601" s="81"/>
      <c r="T601" s="81"/>
      <c r="U601" s="81"/>
      <c r="V601" s="81"/>
      <c r="W601" s="81"/>
      <c r="X601" s="81"/>
      <c r="Y601" s="81"/>
      <c r="Z601" s="81"/>
      <c r="AA601" s="81"/>
      <c r="AB601" s="81"/>
      <c r="AC601" s="81"/>
      <c r="AD601" s="81"/>
      <c r="AE601" s="81"/>
      <c r="AF601" s="81"/>
    </row>
    <row r="602" spans="1:32">
      <c r="A602" s="76" t="s">
        <v>1336</v>
      </c>
      <c r="B602" s="79">
        <f>B603*2*0.45</f>
        <v>28575</v>
      </c>
      <c r="C602" s="79">
        <f t="shared" ref="C602:I602" si="996">C603*2*0.45</f>
        <v>32625</v>
      </c>
      <c r="D602" s="79">
        <f t="shared" si="996"/>
        <v>36720</v>
      </c>
      <c r="E602" s="79">
        <f t="shared" si="996"/>
        <v>40770</v>
      </c>
      <c r="F602" s="79">
        <f t="shared" si="996"/>
        <v>44055</v>
      </c>
      <c r="G602" s="79">
        <f t="shared" si="996"/>
        <v>47295</v>
      </c>
      <c r="H602" s="79">
        <f t="shared" si="996"/>
        <v>50580</v>
      </c>
      <c r="I602" s="79">
        <f t="shared" si="996"/>
        <v>53820</v>
      </c>
      <c r="J602" s="80">
        <f t="shared" si="983"/>
        <v>714</v>
      </c>
      <c r="K602" s="80">
        <f t="shared" si="984"/>
        <v>765</v>
      </c>
      <c r="L602" s="80">
        <f t="shared" si="985"/>
        <v>918</v>
      </c>
      <c r="M602" s="80">
        <f t="shared" si="986"/>
        <v>1060</v>
      </c>
      <c r="N602" s="80">
        <f t="shared" si="987"/>
        <v>1182</v>
      </c>
      <c r="O602" s="80">
        <f t="shared" si="988"/>
        <v>1305</v>
      </c>
      <c r="P602" s="81"/>
      <c r="Q602" s="81"/>
      <c r="R602" s="81"/>
      <c r="S602" s="81"/>
      <c r="T602" s="81"/>
      <c r="U602" s="81"/>
      <c r="V602" s="81"/>
      <c r="W602" s="81"/>
      <c r="X602" s="81"/>
      <c r="Y602" s="81"/>
      <c r="Z602" s="81"/>
      <c r="AA602" s="81"/>
      <c r="AB602" s="81"/>
      <c r="AC602" s="81"/>
      <c r="AD602" s="81"/>
      <c r="AE602" s="81"/>
      <c r="AF602" s="81"/>
    </row>
    <row r="603" spans="1:32">
      <c r="A603" s="82" t="s">
        <v>1337</v>
      </c>
      <c r="B603" s="84">
        <f>'MTSP 50% Income Limits '!B35</f>
        <v>31750</v>
      </c>
      <c r="C603" s="84">
        <f>'MTSP 50% Income Limits '!C35</f>
        <v>36250</v>
      </c>
      <c r="D603" s="84">
        <f>'MTSP 50% Income Limits '!D35</f>
        <v>40800</v>
      </c>
      <c r="E603" s="84">
        <f>'MTSP 50% Income Limits '!E35</f>
        <v>45300</v>
      </c>
      <c r="F603" s="84">
        <f>'MTSP 50% Income Limits '!F35</f>
        <v>48950</v>
      </c>
      <c r="G603" s="84">
        <f>'MTSP 50% Income Limits '!G35</f>
        <v>52550</v>
      </c>
      <c r="H603" s="84">
        <f>'MTSP 50% Income Limits '!H35</f>
        <v>56200</v>
      </c>
      <c r="I603" s="84">
        <f>'MTSP 50% Income Limits '!I35</f>
        <v>59800</v>
      </c>
      <c r="J603" s="83">
        <f>TRUNC(B603/12*0.3)</f>
        <v>793</v>
      </c>
      <c r="K603" s="83">
        <f>TRUNC((B603+C603)/2/12*0.3)</f>
        <v>850</v>
      </c>
      <c r="L603" s="83">
        <f>TRUNC((D603)/12*0.3)</f>
        <v>1020</v>
      </c>
      <c r="M603" s="83">
        <f>TRUNC(((E603+F603)/2)/12*0.3)</f>
        <v>1178</v>
      </c>
      <c r="N603" s="83">
        <f>TRUNC(G603/12*0.3)</f>
        <v>1313</v>
      </c>
      <c r="O603" s="83">
        <f>TRUNC(((H603+I603)/2)/12*0.3)</f>
        <v>1450</v>
      </c>
      <c r="P603" s="81"/>
      <c r="Q603" s="81"/>
      <c r="R603" s="81"/>
      <c r="S603" s="81"/>
      <c r="T603" s="81"/>
      <c r="U603" s="81"/>
      <c r="V603" s="81"/>
      <c r="W603" s="81"/>
      <c r="X603" s="81"/>
      <c r="Y603" s="81"/>
      <c r="Z603" s="81"/>
      <c r="AA603" s="81"/>
      <c r="AB603" s="81"/>
      <c r="AC603" s="81"/>
      <c r="AD603" s="81"/>
      <c r="AE603" s="81"/>
      <c r="AF603" s="81"/>
    </row>
    <row r="604" spans="1:32">
      <c r="A604" s="76" t="s">
        <v>1338</v>
      </c>
      <c r="B604" s="79">
        <f>B603*2*0.55</f>
        <v>34925</v>
      </c>
      <c r="C604" s="79">
        <f t="shared" ref="C604:I604" si="997">C603*2*0.55</f>
        <v>39875</v>
      </c>
      <c r="D604" s="79">
        <f t="shared" si="997"/>
        <v>44880</v>
      </c>
      <c r="E604" s="79">
        <f t="shared" si="997"/>
        <v>49830.000000000007</v>
      </c>
      <c r="F604" s="79">
        <f t="shared" si="997"/>
        <v>53845.000000000007</v>
      </c>
      <c r="G604" s="79">
        <f t="shared" si="997"/>
        <v>57805.000000000007</v>
      </c>
      <c r="H604" s="79">
        <f t="shared" si="997"/>
        <v>61820.000000000007</v>
      </c>
      <c r="I604" s="79">
        <f t="shared" si="997"/>
        <v>65780</v>
      </c>
      <c r="J604" s="80">
        <f t="shared" ref="J604:J610" si="998">TRUNC(B604/12*0.3)</f>
        <v>873</v>
      </c>
      <c r="K604" s="80">
        <f t="shared" ref="K604:K610" si="999">TRUNC((B604+C604)/2/12*0.3)</f>
        <v>935</v>
      </c>
      <c r="L604" s="80">
        <f t="shared" ref="L604:L610" si="1000">TRUNC((D604)/12*0.3)</f>
        <v>1122</v>
      </c>
      <c r="M604" s="80">
        <f t="shared" ref="M604:M610" si="1001">TRUNC(((E604+F604)/2)/12*0.3)</f>
        <v>1295</v>
      </c>
      <c r="N604" s="80">
        <f t="shared" ref="N604:N610" si="1002">TRUNC(G604/12*0.3)</f>
        <v>1445</v>
      </c>
      <c r="O604" s="80">
        <f t="shared" ref="O604:O610" si="1003">TRUNC(((H604+I604)/2)/12*0.3)</f>
        <v>1595</v>
      </c>
      <c r="P604" s="81"/>
      <c r="Q604" s="81"/>
      <c r="R604" s="81"/>
      <c r="S604" s="81"/>
      <c r="T604" s="81"/>
      <c r="U604" s="81"/>
      <c r="V604" s="81"/>
      <c r="W604" s="81"/>
      <c r="X604" s="81"/>
      <c r="Y604" s="81"/>
      <c r="Z604" s="81"/>
      <c r="AA604" s="81"/>
      <c r="AB604" s="81"/>
      <c r="AC604" s="81"/>
      <c r="AD604" s="81"/>
      <c r="AE604" s="81"/>
      <c r="AF604" s="81"/>
    </row>
    <row r="605" spans="1:32">
      <c r="A605" s="76" t="s">
        <v>1339</v>
      </c>
      <c r="B605" s="79">
        <f>B603*2*0.6</f>
        <v>38100</v>
      </c>
      <c r="C605" s="79">
        <f t="shared" ref="C605:I605" si="1004">C603*2*0.6</f>
        <v>43500</v>
      </c>
      <c r="D605" s="79">
        <f t="shared" si="1004"/>
        <v>48960</v>
      </c>
      <c r="E605" s="79">
        <f t="shared" si="1004"/>
        <v>54360</v>
      </c>
      <c r="F605" s="79">
        <f t="shared" si="1004"/>
        <v>58740</v>
      </c>
      <c r="G605" s="79">
        <f t="shared" si="1004"/>
        <v>63060</v>
      </c>
      <c r="H605" s="79">
        <f t="shared" si="1004"/>
        <v>67440</v>
      </c>
      <c r="I605" s="79">
        <f t="shared" si="1004"/>
        <v>71760</v>
      </c>
      <c r="J605" s="80">
        <f t="shared" si="998"/>
        <v>952</v>
      </c>
      <c r="K605" s="80">
        <f t="shared" si="999"/>
        <v>1020</v>
      </c>
      <c r="L605" s="80">
        <f t="shared" si="1000"/>
        <v>1224</v>
      </c>
      <c r="M605" s="80">
        <f t="shared" si="1001"/>
        <v>1413</v>
      </c>
      <c r="N605" s="80">
        <f t="shared" si="1002"/>
        <v>1576</v>
      </c>
      <c r="O605" s="80">
        <f t="shared" si="1003"/>
        <v>1740</v>
      </c>
      <c r="P605" s="81"/>
      <c r="Q605" s="81"/>
      <c r="R605" s="81"/>
      <c r="S605" s="81"/>
      <c r="T605" s="81"/>
      <c r="U605" s="81"/>
      <c r="V605" s="81"/>
      <c r="W605" s="81"/>
      <c r="X605" s="81"/>
      <c r="Y605" s="81"/>
      <c r="Z605" s="81"/>
      <c r="AA605" s="81"/>
      <c r="AB605" s="81"/>
      <c r="AC605" s="81"/>
      <c r="AD605" s="81"/>
      <c r="AE605" s="81"/>
      <c r="AF605" s="81"/>
    </row>
    <row r="606" spans="1:32">
      <c r="A606" s="76" t="s">
        <v>1340</v>
      </c>
      <c r="B606" s="79">
        <f>B603*2*0.65</f>
        <v>41275</v>
      </c>
      <c r="C606" s="79">
        <f t="shared" ref="C606:I606" si="1005">C603*2*0.65</f>
        <v>47125</v>
      </c>
      <c r="D606" s="79">
        <f t="shared" si="1005"/>
        <v>53040</v>
      </c>
      <c r="E606" s="79">
        <f t="shared" si="1005"/>
        <v>58890</v>
      </c>
      <c r="F606" s="79">
        <f t="shared" si="1005"/>
        <v>63635</v>
      </c>
      <c r="G606" s="79">
        <f t="shared" si="1005"/>
        <v>68315</v>
      </c>
      <c r="H606" s="79">
        <f t="shared" si="1005"/>
        <v>73060</v>
      </c>
      <c r="I606" s="79">
        <f t="shared" si="1005"/>
        <v>77740</v>
      </c>
      <c r="J606" s="80">
        <f t="shared" si="998"/>
        <v>1031</v>
      </c>
      <c r="K606" s="80">
        <f t="shared" si="999"/>
        <v>1105</v>
      </c>
      <c r="L606" s="80">
        <f t="shared" si="1000"/>
        <v>1326</v>
      </c>
      <c r="M606" s="80">
        <f t="shared" si="1001"/>
        <v>1531</v>
      </c>
      <c r="N606" s="80">
        <f t="shared" si="1002"/>
        <v>1707</v>
      </c>
      <c r="O606" s="80">
        <f t="shared" si="1003"/>
        <v>1885</v>
      </c>
      <c r="P606" s="81"/>
      <c r="Q606" s="81"/>
      <c r="R606" s="81"/>
      <c r="S606" s="81"/>
      <c r="T606" s="81"/>
      <c r="U606" s="81"/>
      <c r="V606" s="81"/>
      <c r="W606" s="81"/>
      <c r="X606" s="81"/>
      <c r="Y606" s="81"/>
      <c r="Z606" s="81"/>
      <c r="AA606" s="81"/>
      <c r="AB606" s="81"/>
      <c r="AC606" s="81"/>
      <c r="AD606" s="81"/>
      <c r="AE606" s="81"/>
      <c r="AF606" s="81"/>
    </row>
    <row r="607" spans="1:32">
      <c r="A607" s="76" t="s">
        <v>1341</v>
      </c>
      <c r="B607" s="79">
        <f>B603*2*0.7</f>
        <v>44450</v>
      </c>
      <c r="C607" s="79">
        <f t="shared" ref="C607:I607" si="1006">C603*2*0.7</f>
        <v>50750</v>
      </c>
      <c r="D607" s="79">
        <f t="shared" si="1006"/>
        <v>57120</v>
      </c>
      <c r="E607" s="79">
        <f t="shared" si="1006"/>
        <v>63419.999999999993</v>
      </c>
      <c r="F607" s="79">
        <f t="shared" si="1006"/>
        <v>68530</v>
      </c>
      <c r="G607" s="79">
        <f t="shared" si="1006"/>
        <v>73570</v>
      </c>
      <c r="H607" s="79">
        <f t="shared" si="1006"/>
        <v>78680</v>
      </c>
      <c r="I607" s="79">
        <f t="shared" si="1006"/>
        <v>83720</v>
      </c>
      <c r="J607" s="80">
        <f t="shared" si="998"/>
        <v>1111</v>
      </c>
      <c r="K607" s="80">
        <f t="shared" si="999"/>
        <v>1190</v>
      </c>
      <c r="L607" s="80">
        <f t="shared" si="1000"/>
        <v>1428</v>
      </c>
      <c r="M607" s="80">
        <f t="shared" si="1001"/>
        <v>1649</v>
      </c>
      <c r="N607" s="80">
        <f t="shared" si="1002"/>
        <v>1839</v>
      </c>
      <c r="O607" s="80">
        <f t="shared" si="1003"/>
        <v>2030</v>
      </c>
      <c r="P607" s="81"/>
      <c r="Q607" s="81"/>
      <c r="R607" s="81"/>
      <c r="S607" s="81"/>
      <c r="T607" s="81"/>
      <c r="U607" s="81"/>
      <c r="V607" s="81"/>
      <c r="W607" s="81"/>
      <c r="X607" s="81"/>
      <c r="Y607" s="81"/>
      <c r="Z607" s="81"/>
      <c r="AA607" s="81"/>
      <c r="AB607" s="81"/>
      <c r="AC607" s="81"/>
      <c r="AD607" s="81"/>
      <c r="AE607" s="81"/>
      <c r="AF607" s="81"/>
    </row>
    <row r="608" spans="1:32">
      <c r="A608" s="76" t="s">
        <v>1342</v>
      </c>
      <c r="B608" s="79">
        <f>B603*2*0.75</f>
        <v>47625</v>
      </c>
      <c r="C608" s="79">
        <f t="shared" ref="C608:I608" si="1007">C603*2*0.75</f>
        <v>54375</v>
      </c>
      <c r="D608" s="79">
        <f t="shared" si="1007"/>
        <v>61200</v>
      </c>
      <c r="E608" s="79">
        <f t="shared" si="1007"/>
        <v>67950</v>
      </c>
      <c r="F608" s="79">
        <f t="shared" si="1007"/>
        <v>73425</v>
      </c>
      <c r="G608" s="79">
        <f t="shared" si="1007"/>
        <v>78825</v>
      </c>
      <c r="H608" s="79">
        <f t="shared" si="1007"/>
        <v>84300</v>
      </c>
      <c r="I608" s="79">
        <f t="shared" si="1007"/>
        <v>89700</v>
      </c>
      <c r="J608" s="80">
        <f t="shared" si="998"/>
        <v>1190</v>
      </c>
      <c r="K608" s="80">
        <f t="shared" si="999"/>
        <v>1275</v>
      </c>
      <c r="L608" s="80">
        <f t="shared" si="1000"/>
        <v>1530</v>
      </c>
      <c r="M608" s="80">
        <f t="shared" si="1001"/>
        <v>1767</v>
      </c>
      <c r="N608" s="80">
        <f t="shared" si="1002"/>
        <v>1970</v>
      </c>
      <c r="O608" s="80">
        <f t="shared" si="1003"/>
        <v>2175</v>
      </c>
      <c r="P608" s="81"/>
      <c r="Q608" s="81"/>
      <c r="R608" s="81"/>
      <c r="S608" s="81"/>
      <c r="T608" s="81"/>
      <c r="U608" s="81"/>
      <c r="V608" s="81"/>
      <c r="W608" s="81"/>
      <c r="X608" s="81"/>
      <c r="Y608" s="81"/>
      <c r="Z608" s="81"/>
      <c r="AA608" s="81"/>
      <c r="AB608" s="81"/>
      <c r="AC608" s="81"/>
      <c r="AD608" s="81"/>
      <c r="AE608" s="81"/>
      <c r="AF608" s="81"/>
    </row>
    <row r="609" spans="1:32">
      <c r="A609" s="76" t="s">
        <v>1343</v>
      </c>
      <c r="B609" s="79">
        <f>B603*2*0.8</f>
        <v>50800</v>
      </c>
      <c r="C609" s="79">
        <f t="shared" ref="C609:I609" si="1008">C603*2*0.8</f>
        <v>58000</v>
      </c>
      <c r="D609" s="79">
        <f t="shared" si="1008"/>
        <v>65280</v>
      </c>
      <c r="E609" s="79">
        <f t="shared" si="1008"/>
        <v>72480</v>
      </c>
      <c r="F609" s="79">
        <f t="shared" si="1008"/>
        <v>78320</v>
      </c>
      <c r="G609" s="79">
        <f t="shared" si="1008"/>
        <v>84080</v>
      </c>
      <c r="H609" s="79">
        <f t="shared" si="1008"/>
        <v>89920</v>
      </c>
      <c r="I609" s="79">
        <f t="shared" si="1008"/>
        <v>95680</v>
      </c>
      <c r="J609" s="80">
        <f t="shared" si="998"/>
        <v>1270</v>
      </c>
      <c r="K609" s="80">
        <f t="shared" si="999"/>
        <v>1360</v>
      </c>
      <c r="L609" s="80">
        <f t="shared" si="1000"/>
        <v>1632</v>
      </c>
      <c r="M609" s="80">
        <f t="shared" si="1001"/>
        <v>1885</v>
      </c>
      <c r="N609" s="80">
        <f t="shared" si="1002"/>
        <v>2102</v>
      </c>
      <c r="O609" s="80">
        <f t="shared" si="1003"/>
        <v>2320</v>
      </c>
      <c r="P609" s="81"/>
      <c r="Q609" s="81"/>
      <c r="R609" s="81"/>
      <c r="S609" s="81"/>
      <c r="T609" s="81"/>
      <c r="U609" s="81"/>
      <c r="V609" s="81"/>
      <c r="W609" s="81"/>
      <c r="X609" s="81"/>
      <c r="Y609" s="81"/>
      <c r="Z609" s="81"/>
      <c r="AA609" s="81"/>
      <c r="AB609" s="81"/>
      <c r="AC609" s="81"/>
      <c r="AD609" s="81"/>
      <c r="AE609" s="81"/>
      <c r="AF609" s="81"/>
    </row>
    <row r="610" spans="1:32">
      <c r="A610" s="76" t="s">
        <v>1344</v>
      </c>
      <c r="B610" s="79">
        <f>B603*2*0.9</f>
        <v>57150</v>
      </c>
      <c r="C610" s="79">
        <f t="shared" ref="C610:I610" si="1009">C603*2*0.9</f>
        <v>65250</v>
      </c>
      <c r="D610" s="79">
        <f t="shared" si="1009"/>
        <v>73440</v>
      </c>
      <c r="E610" s="79">
        <f t="shared" si="1009"/>
        <v>81540</v>
      </c>
      <c r="F610" s="79">
        <f t="shared" si="1009"/>
        <v>88110</v>
      </c>
      <c r="G610" s="79">
        <f t="shared" si="1009"/>
        <v>94590</v>
      </c>
      <c r="H610" s="79">
        <f t="shared" si="1009"/>
        <v>101160</v>
      </c>
      <c r="I610" s="79">
        <f t="shared" si="1009"/>
        <v>107640</v>
      </c>
      <c r="J610" s="80">
        <f t="shared" si="998"/>
        <v>1428</v>
      </c>
      <c r="K610" s="80">
        <f t="shared" si="999"/>
        <v>1530</v>
      </c>
      <c r="L610" s="80">
        <f t="shared" si="1000"/>
        <v>1836</v>
      </c>
      <c r="M610" s="80">
        <f t="shared" si="1001"/>
        <v>2120</v>
      </c>
      <c r="N610" s="80">
        <f t="shared" si="1002"/>
        <v>2364</v>
      </c>
      <c r="O610" s="80">
        <f t="shared" si="1003"/>
        <v>2610</v>
      </c>
      <c r="P610" s="81"/>
      <c r="Q610" s="81"/>
      <c r="R610" s="81"/>
      <c r="S610" s="81"/>
      <c r="T610" s="81"/>
      <c r="U610" s="81"/>
      <c r="V610" s="81"/>
      <c r="W610" s="81"/>
      <c r="X610" s="81"/>
      <c r="Y610" s="81"/>
      <c r="Z610" s="81"/>
      <c r="AA610" s="81"/>
      <c r="AB610" s="81"/>
      <c r="AC610" s="81"/>
      <c r="AD610" s="81"/>
      <c r="AE610" s="81"/>
      <c r="AF610" s="81"/>
    </row>
    <row r="611" spans="1:32">
      <c r="A611" s="76" t="s">
        <v>1345</v>
      </c>
      <c r="B611" s="79">
        <f>B603*2</f>
        <v>63500</v>
      </c>
      <c r="C611" s="79">
        <f t="shared" ref="C611:I611" si="1010">C603*2</f>
        <v>72500</v>
      </c>
      <c r="D611" s="79">
        <f t="shared" si="1010"/>
        <v>81600</v>
      </c>
      <c r="E611" s="79">
        <f t="shared" si="1010"/>
        <v>90600</v>
      </c>
      <c r="F611" s="79">
        <f t="shared" si="1010"/>
        <v>97900</v>
      </c>
      <c r="G611" s="79">
        <f t="shared" si="1010"/>
        <v>105100</v>
      </c>
      <c r="H611" s="79">
        <f t="shared" si="1010"/>
        <v>112400</v>
      </c>
      <c r="I611" s="79">
        <f t="shared" si="1010"/>
        <v>119600</v>
      </c>
      <c r="J611" s="80">
        <f>J603*2</f>
        <v>1586</v>
      </c>
      <c r="K611" s="80">
        <f t="shared" ref="K611:O611" si="1011">K603*2</f>
        <v>1700</v>
      </c>
      <c r="L611" s="80">
        <f t="shared" si="1011"/>
        <v>2040</v>
      </c>
      <c r="M611" s="80">
        <f t="shared" si="1011"/>
        <v>2356</v>
      </c>
      <c r="N611" s="80">
        <f t="shared" si="1011"/>
        <v>2626</v>
      </c>
      <c r="O611" s="80">
        <f t="shared" si="1011"/>
        <v>2900</v>
      </c>
      <c r="P611" s="81"/>
      <c r="Q611" s="81"/>
      <c r="R611" s="81"/>
      <c r="S611" s="81"/>
      <c r="T611" s="81"/>
      <c r="U611" s="81"/>
      <c r="V611" s="81"/>
      <c r="W611" s="81"/>
      <c r="X611" s="81"/>
      <c r="Y611" s="81"/>
      <c r="Z611" s="81"/>
      <c r="AA611" s="81"/>
      <c r="AB611" s="81"/>
      <c r="AC611" s="81"/>
      <c r="AD611" s="81"/>
      <c r="AE611" s="81"/>
      <c r="AF611" s="81"/>
    </row>
    <row r="612" spans="1:32">
      <c r="A612" s="76" t="s">
        <v>1346</v>
      </c>
      <c r="B612" s="79">
        <f>B603*2*1.1</f>
        <v>69850</v>
      </c>
      <c r="C612" s="79">
        <f t="shared" ref="C612:I612" si="1012">C603*2*1.1</f>
        <v>79750</v>
      </c>
      <c r="D612" s="79">
        <f t="shared" si="1012"/>
        <v>89760</v>
      </c>
      <c r="E612" s="79">
        <f t="shared" si="1012"/>
        <v>99660.000000000015</v>
      </c>
      <c r="F612" s="79">
        <f t="shared" si="1012"/>
        <v>107690.00000000001</v>
      </c>
      <c r="G612" s="79">
        <f t="shared" si="1012"/>
        <v>115610.00000000001</v>
      </c>
      <c r="H612" s="79">
        <f t="shared" si="1012"/>
        <v>123640.00000000001</v>
      </c>
      <c r="I612" s="79">
        <f t="shared" si="1012"/>
        <v>131560</v>
      </c>
      <c r="J612" s="80">
        <f t="shared" ref="J612:J620" si="1013">TRUNC(B612/12*0.3)</f>
        <v>1746</v>
      </c>
      <c r="K612" s="80">
        <f t="shared" ref="K612:K620" si="1014">TRUNC((B612+C612)/2/12*0.3)</f>
        <v>1870</v>
      </c>
      <c r="L612" s="80">
        <f t="shared" ref="L612:L620" si="1015">TRUNC((D612)/12*0.3)</f>
        <v>2244</v>
      </c>
      <c r="M612" s="80">
        <f t="shared" ref="M612:M620" si="1016">TRUNC(((E612+F612)/2)/12*0.3)</f>
        <v>2591</v>
      </c>
      <c r="N612" s="80">
        <f t="shared" ref="N612:N620" si="1017">TRUNC(G612/12*0.3)</f>
        <v>2890</v>
      </c>
      <c r="O612" s="80">
        <f t="shared" ref="O612:O620" si="1018">TRUNC(((H612+I612)/2)/12*0.3)</f>
        <v>3190</v>
      </c>
      <c r="P612" s="81"/>
      <c r="Q612" s="81"/>
      <c r="R612" s="81"/>
      <c r="S612" s="81"/>
      <c r="T612" s="81"/>
      <c r="U612" s="81"/>
      <c r="V612" s="81"/>
      <c r="W612" s="81"/>
      <c r="X612" s="81"/>
      <c r="Y612" s="81"/>
      <c r="Z612" s="81"/>
      <c r="AA612" s="81"/>
      <c r="AB612" s="81"/>
      <c r="AC612" s="81"/>
      <c r="AD612" s="81"/>
      <c r="AE612" s="81"/>
      <c r="AF612" s="81"/>
    </row>
    <row r="613" spans="1:32">
      <c r="A613" s="76" t="s">
        <v>1347</v>
      </c>
      <c r="B613" s="79">
        <f>B603*2*1.2</f>
        <v>76200</v>
      </c>
      <c r="C613" s="79">
        <f t="shared" ref="C613:I613" si="1019">C603*2*1.2</f>
        <v>87000</v>
      </c>
      <c r="D613" s="79">
        <f t="shared" si="1019"/>
        <v>97920</v>
      </c>
      <c r="E613" s="79">
        <f t="shared" si="1019"/>
        <v>108720</v>
      </c>
      <c r="F613" s="79">
        <f t="shared" si="1019"/>
        <v>117480</v>
      </c>
      <c r="G613" s="79">
        <f t="shared" si="1019"/>
        <v>126120</v>
      </c>
      <c r="H613" s="79">
        <f t="shared" si="1019"/>
        <v>134880</v>
      </c>
      <c r="I613" s="79">
        <f t="shared" si="1019"/>
        <v>143520</v>
      </c>
      <c r="J613" s="80">
        <f t="shared" si="1013"/>
        <v>1905</v>
      </c>
      <c r="K613" s="80">
        <f t="shared" si="1014"/>
        <v>2040</v>
      </c>
      <c r="L613" s="80">
        <f t="shared" si="1015"/>
        <v>2448</v>
      </c>
      <c r="M613" s="80">
        <f t="shared" si="1016"/>
        <v>2827</v>
      </c>
      <c r="N613" s="80">
        <f t="shared" si="1017"/>
        <v>3153</v>
      </c>
      <c r="O613" s="80">
        <f t="shared" si="1018"/>
        <v>3480</v>
      </c>
      <c r="P613" s="81"/>
      <c r="Q613" s="81"/>
      <c r="R613" s="81"/>
      <c r="S613" s="81"/>
      <c r="T613" s="81"/>
      <c r="U613" s="81"/>
      <c r="V613" s="81"/>
      <c r="W613" s="81"/>
      <c r="X613" s="81"/>
      <c r="Y613" s="81"/>
      <c r="Z613" s="81"/>
      <c r="AA613" s="81"/>
      <c r="AB613" s="81"/>
      <c r="AC613" s="81"/>
      <c r="AD613" s="81"/>
      <c r="AE613" s="81"/>
      <c r="AF613" s="81"/>
    </row>
    <row r="614" spans="1:32">
      <c r="A614" s="76" t="s">
        <v>1348</v>
      </c>
      <c r="B614" s="79">
        <f>B621*2*0.15</f>
        <v>10260</v>
      </c>
      <c r="C614" s="79">
        <f>C621*2*0.15</f>
        <v>11715</v>
      </c>
      <c r="D614" s="79">
        <f>D621*2*0.15</f>
        <v>13185</v>
      </c>
      <c r="E614" s="79">
        <f>E621*2*0.15</f>
        <v>14640</v>
      </c>
      <c r="F614" s="79">
        <f>F621*2*0.15</f>
        <v>15825</v>
      </c>
      <c r="G614" s="79">
        <f t="shared" ref="G614:I614" si="1020">G621*2*0.15</f>
        <v>16995</v>
      </c>
      <c r="H614" s="79">
        <f t="shared" si="1020"/>
        <v>18165</v>
      </c>
      <c r="I614" s="79">
        <f t="shared" si="1020"/>
        <v>19335</v>
      </c>
      <c r="J614" s="80">
        <f t="shared" si="1013"/>
        <v>256</v>
      </c>
      <c r="K614" s="80">
        <f t="shared" si="1014"/>
        <v>274</v>
      </c>
      <c r="L614" s="80">
        <f t="shared" si="1015"/>
        <v>329</v>
      </c>
      <c r="M614" s="80">
        <f t="shared" si="1016"/>
        <v>380</v>
      </c>
      <c r="N614" s="80">
        <f t="shared" si="1017"/>
        <v>424</v>
      </c>
      <c r="O614" s="80">
        <f t="shared" si="1018"/>
        <v>468</v>
      </c>
      <c r="P614" s="81"/>
      <c r="Q614" s="81"/>
      <c r="R614" s="81"/>
      <c r="S614" s="81"/>
      <c r="T614" s="81"/>
      <c r="U614" s="81"/>
      <c r="V614" s="81"/>
      <c r="W614" s="81"/>
      <c r="X614" s="81"/>
      <c r="Y614" s="81"/>
      <c r="Z614" s="81"/>
      <c r="AA614" s="81"/>
      <c r="AB614" s="81"/>
      <c r="AC614" s="81"/>
      <c r="AD614" s="81"/>
      <c r="AE614" s="81"/>
      <c r="AF614" s="81"/>
    </row>
    <row r="615" spans="1:32">
      <c r="A615" s="76" t="s">
        <v>1349</v>
      </c>
      <c r="B615" s="79">
        <f>B621*2*0.2</f>
        <v>13680</v>
      </c>
      <c r="C615" s="79">
        <f t="shared" ref="C615:I615" si="1021">C621*2*0.2</f>
        <v>15620</v>
      </c>
      <c r="D615" s="79">
        <f t="shared" si="1021"/>
        <v>17580</v>
      </c>
      <c r="E615" s="79">
        <f t="shared" si="1021"/>
        <v>19520</v>
      </c>
      <c r="F615" s="79">
        <f t="shared" si="1021"/>
        <v>21100</v>
      </c>
      <c r="G615" s="79">
        <f t="shared" si="1021"/>
        <v>22660</v>
      </c>
      <c r="H615" s="79">
        <f t="shared" si="1021"/>
        <v>24220</v>
      </c>
      <c r="I615" s="79">
        <f t="shared" si="1021"/>
        <v>25780</v>
      </c>
      <c r="J615" s="80">
        <f t="shared" si="1013"/>
        <v>342</v>
      </c>
      <c r="K615" s="80">
        <f t="shared" si="1014"/>
        <v>366</v>
      </c>
      <c r="L615" s="80">
        <f t="shared" si="1015"/>
        <v>439</v>
      </c>
      <c r="M615" s="80">
        <f t="shared" si="1016"/>
        <v>507</v>
      </c>
      <c r="N615" s="80">
        <f t="shared" si="1017"/>
        <v>566</v>
      </c>
      <c r="O615" s="80">
        <f t="shared" si="1018"/>
        <v>625</v>
      </c>
      <c r="P615" s="81"/>
      <c r="Q615" s="81"/>
      <c r="R615" s="81"/>
      <c r="S615" s="81"/>
      <c r="T615" s="81"/>
      <c r="U615" s="81"/>
      <c r="V615" s="81"/>
      <c r="W615" s="81"/>
      <c r="X615" s="81"/>
      <c r="Y615" s="81"/>
      <c r="Z615" s="81"/>
      <c r="AA615" s="81"/>
      <c r="AB615" s="81"/>
      <c r="AC615" s="81"/>
      <c r="AD615" s="81"/>
      <c r="AE615" s="81"/>
      <c r="AF615" s="81"/>
    </row>
    <row r="616" spans="1:32">
      <c r="A616" s="76" t="s">
        <v>1350</v>
      </c>
      <c r="B616" s="79">
        <f>B621*2*0.25</f>
        <v>17100</v>
      </c>
      <c r="C616" s="79">
        <f t="shared" ref="C616:I616" si="1022">C621*2*0.25</f>
        <v>19525</v>
      </c>
      <c r="D616" s="79">
        <f t="shared" si="1022"/>
        <v>21975</v>
      </c>
      <c r="E616" s="79">
        <f t="shared" si="1022"/>
        <v>24400</v>
      </c>
      <c r="F616" s="79">
        <f t="shared" si="1022"/>
        <v>26375</v>
      </c>
      <c r="G616" s="79">
        <f t="shared" si="1022"/>
        <v>28325</v>
      </c>
      <c r="H616" s="79">
        <f t="shared" si="1022"/>
        <v>30275</v>
      </c>
      <c r="I616" s="79">
        <f t="shared" si="1022"/>
        <v>32225</v>
      </c>
      <c r="J616" s="80">
        <f t="shared" si="1013"/>
        <v>427</v>
      </c>
      <c r="K616" s="80">
        <f t="shared" si="1014"/>
        <v>457</v>
      </c>
      <c r="L616" s="80">
        <f t="shared" si="1015"/>
        <v>549</v>
      </c>
      <c r="M616" s="80">
        <f t="shared" si="1016"/>
        <v>634</v>
      </c>
      <c r="N616" s="80">
        <f t="shared" si="1017"/>
        <v>708</v>
      </c>
      <c r="O616" s="80">
        <f t="shared" si="1018"/>
        <v>781</v>
      </c>
      <c r="P616" s="81"/>
      <c r="Q616" s="81"/>
      <c r="R616" s="81"/>
      <c r="S616" s="81"/>
      <c r="T616" s="81"/>
      <c r="U616" s="81"/>
      <c r="V616" s="81"/>
      <c r="W616" s="81"/>
      <c r="X616" s="81"/>
      <c r="Y616" s="81"/>
      <c r="Z616" s="81"/>
      <c r="AA616" s="81"/>
      <c r="AB616" s="81"/>
      <c r="AC616" s="81"/>
      <c r="AD616" s="81"/>
      <c r="AE616" s="81"/>
      <c r="AF616" s="81"/>
    </row>
    <row r="617" spans="1:32">
      <c r="A617" s="76" t="s">
        <v>1351</v>
      </c>
      <c r="B617" s="79">
        <f>B621*2*0.3</f>
        <v>20520</v>
      </c>
      <c r="C617" s="79">
        <f t="shared" ref="C617:I617" si="1023">C621*2*0.3</f>
        <v>23430</v>
      </c>
      <c r="D617" s="79">
        <f t="shared" si="1023"/>
        <v>26370</v>
      </c>
      <c r="E617" s="79">
        <f t="shared" si="1023"/>
        <v>29280</v>
      </c>
      <c r="F617" s="79">
        <f t="shared" si="1023"/>
        <v>31650</v>
      </c>
      <c r="G617" s="79">
        <f t="shared" si="1023"/>
        <v>33990</v>
      </c>
      <c r="H617" s="79">
        <f t="shared" si="1023"/>
        <v>36330</v>
      </c>
      <c r="I617" s="79">
        <f t="shared" si="1023"/>
        <v>38670</v>
      </c>
      <c r="J617" s="80">
        <f t="shared" si="1013"/>
        <v>513</v>
      </c>
      <c r="K617" s="80">
        <f t="shared" si="1014"/>
        <v>549</v>
      </c>
      <c r="L617" s="80">
        <f t="shared" si="1015"/>
        <v>659</v>
      </c>
      <c r="M617" s="80">
        <f t="shared" si="1016"/>
        <v>761</v>
      </c>
      <c r="N617" s="80">
        <f t="shared" si="1017"/>
        <v>849</v>
      </c>
      <c r="O617" s="80">
        <f t="shared" si="1018"/>
        <v>937</v>
      </c>
      <c r="P617" s="81"/>
      <c r="Q617" s="81"/>
      <c r="R617" s="81"/>
      <c r="S617" s="81"/>
      <c r="T617" s="81"/>
      <c r="U617" s="81"/>
      <c r="V617" s="81"/>
      <c r="W617" s="81"/>
      <c r="X617" s="81"/>
      <c r="Y617" s="81"/>
      <c r="Z617" s="81"/>
      <c r="AA617" s="81"/>
      <c r="AB617" s="81"/>
      <c r="AC617" s="81"/>
      <c r="AD617" s="81"/>
      <c r="AE617" s="81"/>
      <c r="AF617" s="81"/>
    </row>
    <row r="618" spans="1:32">
      <c r="A618" s="76" t="s">
        <v>1352</v>
      </c>
      <c r="B618" s="79">
        <f>B621*2*0.35</f>
        <v>23940</v>
      </c>
      <c r="C618" s="79">
        <f t="shared" ref="C618:I618" si="1024">C621*2*0.35</f>
        <v>27335</v>
      </c>
      <c r="D618" s="79">
        <f t="shared" si="1024"/>
        <v>30764.999999999996</v>
      </c>
      <c r="E618" s="79">
        <f t="shared" si="1024"/>
        <v>34160</v>
      </c>
      <c r="F618" s="79">
        <f t="shared" si="1024"/>
        <v>36925</v>
      </c>
      <c r="G618" s="79">
        <f t="shared" si="1024"/>
        <v>39655</v>
      </c>
      <c r="H618" s="79">
        <f t="shared" si="1024"/>
        <v>42385</v>
      </c>
      <c r="I618" s="79">
        <f t="shared" si="1024"/>
        <v>45115</v>
      </c>
      <c r="J618" s="80">
        <f t="shared" si="1013"/>
        <v>598</v>
      </c>
      <c r="K618" s="80">
        <f t="shared" si="1014"/>
        <v>640</v>
      </c>
      <c r="L618" s="80">
        <f t="shared" si="1015"/>
        <v>769</v>
      </c>
      <c r="M618" s="80">
        <f t="shared" si="1016"/>
        <v>888</v>
      </c>
      <c r="N618" s="80">
        <f t="shared" si="1017"/>
        <v>991</v>
      </c>
      <c r="O618" s="80">
        <f t="shared" si="1018"/>
        <v>1093</v>
      </c>
      <c r="P618" s="81"/>
      <c r="Q618" s="81"/>
      <c r="R618" s="81"/>
      <c r="S618" s="81"/>
      <c r="T618" s="81"/>
      <c r="U618" s="81"/>
      <c r="V618" s="81"/>
      <c r="W618" s="81"/>
      <c r="X618" s="81"/>
      <c r="Y618" s="81"/>
      <c r="Z618" s="81"/>
      <c r="AA618" s="81"/>
      <c r="AB618" s="81"/>
      <c r="AC618" s="81"/>
      <c r="AD618" s="81"/>
      <c r="AE618" s="81"/>
      <c r="AF618" s="81"/>
    </row>
    <row r="619" spans="1:32">
      <c r="A619" s="76" t="s">
        <v>1353</v>
      </c>
      <c r="B619" s="79">
        <f>B621*2*0.4</f>
        <v>27360</v>
      </c>
      <c r="C619" s="79">
        <f t="shared" ref="C619:I619" si="1025">C621*2*0.4</f>
        <v>31240</v>
      </c>
      <c r="D619" s="79">
        <f t="shared" si="1025"/>
        <v>35160</v>
      </c>
      <c r="E619" s="79">
        <f t="shared" si="1025"/>
        <v>39040</v>
      </c>
      <c r="F619" s="79">
        <f t="shared" si="1025"/>
        <v>42200</v>
      </c>
      <c r="G619" s="79">
        <f t="shared" si="1025"/>
        <v>45320</v>
      </c>
      <c r="H619" s="79">
        <f t="shared" si="1025"/>
        <v>48440</v>
      </c>
      <c r="I619" s="79">
        <f t="shared" si="1025"/>
        <v>51560</v>
      </c>
      <c r="J619" s="80">
        <f t="shared" si="1013"/>
        <v>684</v>
      </c>
      <c r="K619" s="80">
        <f t="shared" si="1014"/>
        <v>732</v>
      </c>
      <c r="L619" s="80">
        <f t="shared" si="1015"/>
        <v>879</v>
      </c>
      <c r="M619" s="80">
        <f t="shared" si="1016"/>
        <v>1015</v>
      </c>
      <c r="N619" s="80">
        <f t="shared" si="1017"/>
        <v>1133</v>
      </c>
      <c r="O619" s="80">
        <f t="shared" si="1018"/>
        <v>1250</v>
      </c>
      <c r="P619" s="81"/>
      <c r="Q619" s="81"/>
      <c r="R619" s="81"/>
      <c r="S619" s="81"/>
      <c r="T619" s="81"/>
      <c r="U619" s="81"/>
      <c r="V619" s="81"/>
      <c r="W619" s="81"/>
      <c r="X619" s="81"/>
      <c r="Y619" s="81"/>
      <c r="Z619" s="81"/>
      <c r="AA619" s="81"/>
      <c r="AB619" s="81"/>
      <c r="AC619" s="81"/>
      <c r="AD619" s="81"/>
      <c r="AE619" s="81"/>
      <c r="AF619" s="81"/>
    </row>
    <row r="620" spans="1:32">
      <c r="A620" s="76" t="s">
        <v>1354</v>
      </c>
      <c r="B620" s="79">
        <f>B621*2*0.45</f>
        <v>30780</v>
      </c>
      <c r="C620" s="79">
        <f t="shared" ref="C620:I620" si="1026">C621*2*0.45</f>
        <v>35145</v>
      </c>
      <c r="D620" s="79">
        <f t="shared" si="1026"/>
        <v>39555</v>
      </c>
      <c r="E620" s="79">
        <f t="shared" si="1026"/>
        <v>43920</v>
      </c>
      <c r="F620" s="79">
        <f t="shared" si="1026"/>
        <v>47475</v>
      </c>
      <c r="G620" s="79">
        <f t="shared" si="1026"/>
        <v>50985</v>
      </c>
      <c r="H620" s="79">
        <f t="shared" si="1026"/>
        <v>54495</v>
      </c>
      <c r="I620" s="79">
        <f t="shared" si="1026"/>
        <v>58005</v>
      </c>
      <c r="J620" s="80">
        <f t="shared" si="1013"/>
        <v>769</v>
      </c>
      <c r="K620" s="80">
        <f t="shared" si="1014"/>
        <v>824</v>
      </c>
      <c r="L620" s="80">
        <f t="shared" si="1015"/>
        <v>988</v>
      </c>
      <c r="M620" s="80">
        <f t="shared" si="1016"/>
        <v>1142</v>
      </c>
      <c r="N620" s="80">
        <f t="shared" si="1017"/>
        <v>1274</v>
      </c>
      <c r="O620" s="80">
        <f t="shared" si="1018"/>
        <v>1406</v>
      </c>
      <c r="P620" s="81"/>
      <c r="Q620" s="81"/>
      <c r="R620" s="81"/>
      <c r="S620" s="81"/>
      <c r="T620" s="81"/>
      <c r="U620" s="81"/>
      <c r="V620" s="81"/>
      <c r="W620" s="81"/>
      <c r="X620" s="81"/>
      <c r="Y620" s="81"/>
      <c r="Z620" s="81"/>
      <c r="AA620" s="81"/>
      <c r="AB620" s="81"/>
      <c r="AC620" s="81"/>
      <c r="AD620" s="81"/>
      <c r="AE620" s="81"/>
      <c r="AF620" s="81"/>
    </row>
    <row r="621" spans="1:32">
      <c r="A621" s="82" t="s">
        <v>1355</v>
      </c>
      <c r="B621" s="84">
        <f>'MTSP 50% Income Limits '!B36</f>
        <v>34200</v>
      </c>
      <c r="C621" s="84">
        <f>'MTSP 50% Income Limits '!C36</f>
        <v>39050</v>
      </c>
      <c r="D621" s="84">
        <f>'MTSP 50% Income Limits '!D36</f>
        <v>43950</v>
      </c>
      <c r="E621" s="84">
        <f>'MTSP 50% Income Limits '!E36</f>
        <v>48800</v>
      </c>
      <c r="F621" s="84">
        <f>'MTSP 50% Income Limits '!F36</f>
        <v>52750</v>
      </c>
      <c r="G621" s="84">
        <f>'MTSP 50% Income Limits '!G36</f>
        <v>56650</v>
      </c>
      <c r="H621" s="84">
        <f>'MTSP 50% Income Limits '!H36</f>
        <v>60550</v>
      </c>
      <c r="I621" s="84">
        <f>'MTSP 50% Income Limits '!I36</f>
        <v>64450</v>
      </c>
      <c r="J621" s="83">
        <f>TRUNC(B621/12*0.3)</f>
        <v>855</v>
      </c>
      <c r="K621" s="83">
        <f>TRUNC((B621+C621)/2/12*0.3)</f>
        <v>915</v>
      </c>
      <c r="L621" s="83">
        <f>TRUNC((D621)/12*0.3)</f>
        <v>1098</v>
      </c>
      <c r="M621" s="83">
        <f>TRUNC(((E621+F621)/2)/12*0.3)</f>
        <v>1269</v>
      </c>
      <c r="N621" s="83">
        <f>TRUNC(G621/12*0.3)</f>
        <v>1416</v>
      </c>
      <c r="O621" s="83">
        <f>TRUNC(((H621+I621)/2)/12*0.3)</f>
        <v>1562</v>
      </c>
      <c r="P621" s="81"/>
      <c r="Q621" s="81"/>
      <c r="R621" s="81"/>
      <c r="S621" s="81"/>
      <c r="T621" s="81"/>
      <c r="U621" s="81"/>
      <c r="V621" s="81"/>
      <c r="W621" s="81"/>
      <c r="X621" s="81"/>
      <c r="Y621" s="81"/>
      <c r="Z621" s="81"/>
      <c r="AA621" s="81"/>
      <c r="AB621" s="81"/>
      <c r="AC621" s="81"/>
      <c r="AD621" s="81"/>
      <c r="AE621" s="81"/>
      <c r="AF621" s="81"/>
    </row>
    <row r="622" spans="1:32">
      <c r="A622" s="76" t="s">
        <v>1356</v>
      </c>
      <c r="B622" s="79">
        <f>B621*2*0.55</f>
        <v>37620</v>
      </c>
      <c r="C622" s="79">
        <f t="shared" ref="C622:I622" si="1027">C621*2*0.55</f>
        <v>42955</v>
      </c>
      <c r="D622" s="79">
        <f t="shared" si="1027"/>
        <v>48345.000000000007</v>
      </c>
      <c r="E622" s="79">
        <f t="shared" si="1027"/>
        <v>53680.000000000007</v>
      </c>
      <c r="F622" s="79">
        <f t="shared" si="1027"/>
        <v>58025.000000000007</v>
      </c>
      <c r="G622" s="79">
        <f t="shared" si="1027"/>
        <v>62315.000000000007</v>
      </c>
      <c r="H622" s="79">
        <f t="shared" si="1027"/>
        <v>66605</v>
      </c>
      <c r="I622" s="79">
        <f t="shared" si="1027"/>
        <v>70895</v>
      </c>
      <c r="J622" s="80">
        <f t="shared" ref="J622:J628" si="1028">TRUNC(B622/12*0.3)</f>
        <v>940</v>
      </c>
      <c r="K622" s="80">
        <f t="shared" ref="K622:K628" si="1029">TRUNC((B622+C622)/2/12*0.3)</f>
        <v>1007</v>
      </c>
      <c r="L622" s="80">
        <f t="shared" ref="L622:L628" si="1030">TRUNC((D622)/12*0.3)</f>
        <v>1208</v>
      </c>
      <c r="M622" s="80">
        <f t="shared" ref="M622:M628" si="1031">TRUNC(((E622+F622)/2)/12*0.3)</f>
        <v>1396</v>
      </c>
      <c r="N622" s="80">
        <f t="shared" ref="N622:N628" si="1032">TRUNC(G622/12*0.3)</f>
        <v>1557</v>
      </c>
      <c r="O622" s="80">
        <f t="shared" ref="O622:O628" si="1033">TRUNC(((H622+I622)/2)/12*0.3)</f>
        <v>1718</v>
      </c>
      <c r="P622" s="81"/>
      <c r="Q622" s="81"/>
      <c r="R622" s="81"/>
      <c r="S622" s="81"/>
      <c r="T622" s="81"/>
      <c r="U622" s="81"/>
      <c r="V622" s="81"/>
      <c r="W622" s="81"/>
      <c r="X622" s="81"/>
      <c r="Y622" s="81"/>
      <c r="Z622" s="81"/>
      <c r="AA622" s="81"/>
      <c r="AB622" s="81"/>
      <c r="AC622" s="81"/>
      <c r="AD622" s="81"/>
      <c r="AE622" s="81"/>
      <c r="AF622" s="81"/>
    </row>
    <row r="623" spans="1:32">
      <c r="A623" s="76" t="s">
        <v>1357</v>
      </c>
      <c r="B623" s="79">
        <f>B621*2*0.6</f>
        <v>41040</v>
      </c>
      <c r="C623" s="79">
        <f t="shared" ref="C623:I623" si="1034">C621*2*0.6</f>
        <v>46860</v>
      </c>
      <c r="D623" s="79">
        <f t="shared" si="1034"/>
        <v>52740</v>
      </c>
      <c r="E623" s="79">
        <f t="shared" si="1034"/>
        <v>58560</v>
      </c>
      <c r="F623" s="79">
        <f t="shared" si="1034"/>
        <v>63300</v>
      </c>
      <c r="G623" s="79">
        <f t="shared" si="1034"/>
        <v>67980</v>
      </c>
      <c r="H623" s="79">
        <f t="shared" si="1034"/>
        <v>72660</v>
      </c>
      <c r="I623" s="79">
        <f t="shared" si="1034"/>
        <v>77340</v>
      </c>
      <c r="J623" s="80">
        <f t="shared" si="1028"/>
        <v>1026</v>
      </c>
      <c r="K623" s="80">
        <f t="shared" si="1029"/>
        <v>1098</v>
      </c>
      <c r="L623" s="80">
        <f t="shared" si="1030"/>
        <v>1318</v>
      </c>
      <c r="M623" s="80">
        <f t="shared" si="1031"/>
        <v>1523</v>
      </c>
      <c r="N623" s="80">
        <f t="shared" si="1032"/>
        <v>1699</v>
      </c>
      <c r="O623" s="80">
        <f t="shared" si="1033"/>
        <v>1875</v>
      </c>
      <c r="P623" s="81"/>
      <c r="Q623" s="81"/>
      <c r="R623" s="81"/>
      <c r="S623" s="81"/>
      <c r="T623" s="81"/>
      <c r="U623" s="81"/>
      <c r="V623" s="81"/>
      <c r="W623" s="81"/>
      <c r="X623" s="81"/>
      <c r="Y623" s="81"/>
      <c r="Z623" s="81"/>
      <c r="AA623" s="81"/>
      <c r="AB623" s="81"/>
      <c r="AC623" s="81"/>
      <c r="AD623" s="81"/>
      <c r="AE623" s="81"/>
      <c r="AF623" s="81"/>
    </row>
    <row r="624" spans="1:32">
      <c r="A624" s="76" t="s">
        <v>1358</v>
      </c>
      <c r="B624" s="79">
        <f>B621*2*0.65</f>
        <v>44460</v>
      </c>
      <c r="C624" s="79">
        <f t="shared" ref="C624:I624" si="1035">C621*2*0.65</f>
        <v>50765</v>
      </c>
      <c r="D624" s="79">
        <f t="shared" si="1035"/>
        <v>57135</v>
      </c>
      <c r="E624" s="79">
        <f t="shared" si="1035"/>
        <v>63440</v>
      </c>
      <c r="F624" s="79">
        <f t="shared" si="1035"/>
        <v>68575</v>
      </c>
      <c r="G624" s="79">
        <f t="shared" si="1035"/>
        <v>73645</v>
      </c>
      <c r="H624" s="79">
        <f t="shared" si="1035"/>
        <v>78715</v>
      </c>
      <c r="I624" s="79">
        <f t="shared" si="1035"/>
        <v>83785</v>
      </c>
      <c r="J624" s="80">
        <f t="shared" si="1028"/>
        <v>1111</v>
      </c>
      <c r="K624" s="80">
        <f t="shared" si="1029"/>
        <v>1190</v>
      </c>
      <c r="L624" s="80">
        <f t="shared" si="1030"/>
        <v>1428</v>
      </c>
      <c r="M624" s="80">
        <f t="shared" si="1031"/>
        <v>1650</v>
      </c>
      <c r="N624" s="80">
        <f t="shared" si="1032"/>
        <v>1841</v>
      </c>
      <c r="O624" s="80">
        <f t="shared" si="1033"/>
        <v>2031</v>
      </c>
      <c r="P624" s="81"/>
      <c r="Q624" s="81"/>
      <c r="R624" s="81"/>
      <c r="S624" s="81"/>
      <c r="T624" s="81"/>
      <c r="U624" s="81"/>
      <c r="V624" s="81"/>
      <c r="W624" s="81"/>
      <c r="X624" s="81"/>
      <c r="Y624" s="81"/>
      <c r="Z624" s="81"/>
      <c r="AA624" s="81"/>
      <c r="AB624" s="81"/>
      <c r="AC624" s="81"/>
      <c r="AD624" s="81"/>
      <c r="AE624" s="81"/>
      <c r="AF624" s="81"/>
    </row>
    <row r="625" spans="1:32">
      <c r="A625" s="76" t="s">
        <v>1359</v>
      </c>
      <c r="B625" s="79">
        <f>B621*2*0.7</f>
        <v>47880</v>
      </c>
      <c r="C625" s="79">
        <f t="shared" ref="C625:I625" si="1036">C621*2*0.7</f>
        <v>54670</v>
      </c>
      <c r="D625" s="79">
        <f t="shared" si="1036"/>
        <v>61529.999999999993</v>
      </c>
      <c r="E625" s="79">
        <f t="shared" si="1036"/>
        <v>68320</v>
      </c>
      <c r="F625" s="79">
        <f t="shared" si="1036"/>
        <v>73850</v>
      </c>
      <c r="G625" s="79">
        <f t="shared" si="1036"/>
        <v>79310</v>
      </c>
      <c r="H625" s="79">
        <f t="shared" si="1036"/>
        <v>84770</v>
      </c>
      <c r="I625" s="79">
        <f t="shared" si="1036"/>
        <v>90230</v>
      </c>
      <c r="J625" s="80">
        <f t="shared" si="1028"/>
        <v>1197</v>
      </c>
      <c r="K625" s="80">
        <f t="shared" si="1029"/>
        <v>1281</v>
      </c>
      <c r="L625" s="80">
        <f t="shared" si="1030"/>
        <v>1538</v>
      </c>
      <c r="M625" s="80">
        <f t="shared" si="1031"/>
        <v>1777</v>
      </c>
      <c r="N625" s="80">
        <f t="shared" si="1032"/>
        <v>1982</v>
      </c>
      <c r="O625" s="80">
        <f t="shared" si="1033"/>
        <v>2187</v>
      </c>
      <c r="P625" s="81"/>
      <c r="Q625" s="81"/>
      <c r="R625" s="81"/>
      <c r="S625" s="81"/>
      <c r="T625" s="81"/>
      <c r="U625" s="81"/>
      <c r="V625" s="81"/>
      <c r="W625" s="81"/>
      <c r="X625" s="81"/>
      <c r="Y625" s="81"/>
      <c r="Z625" s="81"/>
      <c r="AA625" s="81"/>
      <c r="AB625" s="81"/>
      <c r="AC625" s="81"/>
      <c r="AD625" s="81"/>
      <c r="AE625" s="81"/>
      <c r="AF625" s="81"/>
    </row>
    <row r="626" spans="1:32">
      <c r="A626" s="76" t="s">
        <v>1360</v>
      </c>
      <c r="B626" s="79">
        <f>B621*2*0.75</f>
        <v>51300</v>
      </c>
      <c r="C626" s="79">
        <f t="shared" ref="C626:I626" si="1037">C621*2*0.75</f>
        <v>58575</v>
      </c>
      <c r="D626" s="79">
        <f t="shared" si="1037"/>
        <v>65925</v>
      </c>
      <c r="E626" s="79">
        <f t="shared" si="1037"/>
        <v>73200</v>
      </c>
      <c r="F626" s="79">
        <f t="shared" si="1037"/>
        <v>79125</v>
      </c>
      <c r="G626" s="79">
        <f t="shared" si="1037"/>
        <v>84975</v>
      </c>
      <c r="H626" s="79">
        <f t="shared" si="1037"/>
        <v>90825</v>
      </c>
      <c r="I626" s="79">
        <f t="shared" si="1037"/>
        <v>96675</v>
      </c>
      <c r="J626" s="80">
        <f t="shared" si="1028"/>
        <v>1282</v>
      </c>
      <c r="K626" s="80">
        <f t="shared" si="1029"/>
        <v>1373</v>
      </c>
      <c r="L626" s="80">
        <f t="shared" si="1030"/>
        <v>1648</v>
      </c>
      <c r="M626" s="80">
        <f t="shared" si="1031"/>
        <v>1904</v>
      </c>
      <c r="N626" s="80">
        <f t="shared" si="1032"/>
        <v>2124</v>
      </c>
      <c r="O626" s="80">
        <f t="shared" si="1033"/>
        <v>2343</v>
      </c>
      <c r="P626" s="81"/>
      <c r="Q626" s="81"/>
      <c r="R626" s="81"/>
      <c r="S626" s="81"/>
      <c r="T626" s="81"/>
      <c r="U626" s="81"/>
      <c r="V626" s="81"/>
      <c r="W626" s="81"/>
      <c r="X626" s="81"/>
      <c r="Y626" s="81"/>
      <c r="Z626" s="81"/>
      <c r="AA626" s="81"/>
      <c r="AB626" s="81"/>
      <c r="AC626" s="81"/>
      <c r="AD626" s="81"/>
      <c r="AE626" s="81"/>
      <c r="AF626" s="81"/>
    </row>
    <row r="627" spans="1:32">
      <c r="A627" s="76" t="s">
        <v>1361</v>
      </c>
      <c r="B627" s="79">
        <f>B621*2*0.8</f>
        <v>54720</v>
      </c>
      <c r="C627" s="79">
        <f t="shared" ref="C627:I627" si="1038">C621*2*0.8</f>
        <v>62480</v>
      </c>
      <c r="D627" s="79">
        <f t="shared" si="1038"/>
        <v>70320</v>
      </c>
      <c r="E627" s="79">
        <f t="shared" si="1038"/>
        <v>78080</v>
      </c>
      <c r="F627" s="79">
        <f t="shared" si="1038"/>
        <v>84400</v>
      </c>
      <c r="G627" s="79">
        <f t="shared" si="1038"/>
        <v>90640</v>
      </c>
      <c r="H627" s="79">
        <f t="shared" si="1038"/>
        <v>96880</v>
      </c>
      <c r="I627" s="79">
        <f t="shared" si="1038"/>
        <v>103120</v>
      </c>
      <c r="J627" s="80">
        <f t="shared" si="1028"/>
        <v>1368</v>
      </c>
      <c r="K627" s="80">
        <f t="shared" si="1029"/>
        <v>1465</v>
      </c>
      <c r="L627" s="80">
        <f t="shared" si="1030"/>
        <v>1758</v>
      </c>
      <c r="M627" s="80">
        <f t="shared" si="1031"/>
        <v>2031</v>
      </c>
      <c r="N627" s="80">
        <f t="shared" si="1032"/>
        <v>2266</v>
      </c>
      <c r="O627" s="80">
        <f t="shared" si="1033"/>
        <v>2500</v>
      </c>
      <c r="P627" s="81"/>
      <c r="Q627" s="81"/>
      <c r="R627" s="81"/>
      <c r="S627" s="81"/>
      <c r="T627" s="81"/>
      <c r="U627" s="81"/>
      <c r="V627" s="81"/>
      <c r="W627" s="81"/>
      <c r="X627" s="81"/>
      <c r="Y627" s="81"/>
      <c r="Z627" s="81"/>
      <c r="AA627" s="81"/>
      <c r="AB627" s="81"/>
      <c r="AC627" s="81"/>
      <c r="AD627" s="81"/>
      <c r="AE627" s="81"/>
      <c r="AF627" s="81"/>
    </row>
    <row r="628" spans="1:32">
      <c r="A628" s="76" t="s">
        <v>1362</v>
      </c>
      <c r="B628" s="79">
        <f>B621*2*0.9</f>
        <v>61560</v>
      </c>
      <c r="C628" s="79">
        <f t="shared" ref="C628:I628" si="1039">C621*2*0.9</f>
        <v>70290</v>
      </c>
      <c r="D628" s="79">
        <f t="shared" si="1039"/>
        <v>79110</v>
      </c>
      <c r="E628" s="79">
        <f t="shared" si="1039"/>
        <v>87840</v>
      </c>
      <c r="F628" s="79">
        <f t="shared" si="1039"/>
        <v>94950</v>
      </c>
      <c r="G628" s="79">
        <f t="shared" si="1039"/>
        <v>101970</v>
      </c>
      <c r="H628" s="79">
        <f t="shared" si="1039"/>
        <v>108990</v>
      </c>
      <c r="I628" s="79">
        <f t="shared" si="1039"/>
        <v>116010</v>
      </c>
      <c r="J628" s="80">
        <f t="shared" si="1028"/>
        <v>1539</v>
      </c>
      <c r="K628" s="80">
        <f t="shared" si="1029"/>
        <v>1648</v>
      </c>
      <c r="L628" s="80">
        <f t="shared" si="1030"/>
        <v>1977</v>
      </c>
      <c r="M628" s="80">
        <f t="shared" si="1031"/>
        <v>2284</v>
      </c>
      <c r="N628" s="80">
        <f t="shared" si="1032"/>
        <v>2549</v>
      </c>
      <c r="O628" s="80">
        <f t="shared" si="1033"/>
        <v>2812</v>
      </c>
      <c r="P628" s="81"/>
      <c r="Q628" s="81"/>
      <c r="R628" s="81"/>
      <c r="S628" s="81"/>
      <c r="T628" s="81"/>
      <c r="U628" s="81"/>
      <c r="V628" s="81"/>
      <c r="W628" s="81"/>
      <c r="X628" s="81"/>
      <c r="Y628" s="81"/>
      <c r="Z628" s="81"/>
      <c r="AA628" s="81"/>
      <c r="AB628" s="81"/>
      <c r="AC628" s="81"/>
      <c r="AD628" s="81"/>
      <c r="AE628" s="81"/>
      <c r="AF628" s="81"/>
    </row>
    <row r="629" spans="1:32">
      <c r="A629" s="76" t="s">
        <v>1363</v>
      </c>
      <c r="B629" s="79">
        <f>B621*2</f>
        <v>68400</v>
      </c>
      <c r="C629" s="79">
        <f t="shared" ref="C629:I629" si="1040">C621*2</f>
        <v>78100</v>
      </c>
      <c r="D629" s="79">
        <f t="shared" si="1040"/>
        <v>87900</v>
      </c>
      <c r="E629" s="79">
        <f t="shared" si="1040"/>
        <v>97600</v>
      </c>
      <c r="F629" s="79">
        <f t="shared" si="1040"/>
        <v>105500</v>
      </c>
      <c r="G629" s="79">
        <f t="shared" si="1040"/>
        <v>113300</v>
      </c>
      <c r="H629" s="79">
        <f t="shared" si="1040"/>
        <v>121100</v>
      </c>
      <c r="I629" s="79">
        <f t="shared" si="1040"/>
        <v>128900</v>
      </c>
      <c r="J629" s="80">
        <f>J621*2</f>
        <v>1710</v>
      </c>
      <c r="K629" s="80">
        <f t="shared" ref="K629:O629" si="1041">K621*2</f>
        <v>1830</v>
      </c>
      <c r="L629" s="80">
        <f t="shared" si="1041"/>
        <v>2196</v>
      </c>
      <c r="M629" s="80">
        <f t="shared" si="1041"/>
        <v>2538</v>
      </c>
      <c r="N629" s="80">
        <f t="shared" si="1041"/>
        <v>2832</v>
      </c>
      <c r="O629" s="80">
        <f t="shared" si="1041"/>
        <v>3124</v>
      </c>
      <c r="P629" s="81"/>
      <c r="Q629" s="81"/>
      <c r="R629" s="81"/>
      <c r="S629" s="81"/>
      <c r="T629" s="81"/>
      <c r="U629" s="81"/>
      <c r="V629" s="81"/>
      <c r="W629" s="81"/>
      <c r="X629" s="81"/>
      <c r="Y629" s="81"/>
      <c r="Z629" s="81"/>
      <c r="AA629" s="81"/>
      <c r="AB629" s="81"/>
      <c r="AC629" s="81"/>
      <c r="AD629" s="81"/>
      <c r="AE629" s="81"/>
      <c r="AF629" s="81"/>
    </row>
    <row r="630" spans="1:32">
      <c r="A630" s="76" t="s">
        <v>1364</v>
      </c>
      <c r="B630" s="79">
        <f>B621*2*1.1</f>
        <v>75240</v>
      </c>
      <c r="C630" s="79">
        <f t="shared" ref="C630:I630" si="1042">C621*2*1.1</f>
        <v>85910</v>
      </c>
      <c r="D630" s="79">
        <f t="shared" si="1042"/>
        <v>96690.000000000015</v>
      </c>
      <c r="E630" s="79">
        <f t="shared" si="1042"/>
        <v>107360.00000000001</v>
      </c>
      <c r="F630" s="79">
        <f t="shared" si="1042"/>
        <v>116050.00000000001</v>
      </c>
      <c r="G630" s="79">
        <f t="shared" si="1042"/>
        <v>124630.00000000001</v>
      </c>
      <c r="H630" s="79">
        <f t="shared" si="1042"/>
        <v>133210</v>
      </c>
      <c r="I630" s="79">
        <f t="shared" si="1042"/>
        <v>141790</v>
      </c>
      <c r="J630" s="80">
        <f t="shared" ref="J630:J638" si="1043">TRUNC(B630/12*0.3)</f>
        <v>1881</v>
      </c>
      <c r="K630" s="80">
        <f t="shared" ref="K630:K638" si="1044">TRUNC((B630+C630)/2/12*0.3)</f>
        <v>2014</v>
      </c>
      <c r="L630" s="80">
        <f t="shared" ref="L630:L638" si="1045">TRUNC((D630)/12*0.3)</f>
        <v>2417</v>
      </c>
      <c r="M630" s="80">
        <f t="shared" ref="M630:M638" si="1046">TRUNC(((E630+F630)/2)/12*0.3)</f>
        <v>2792</v>
      </c>
      <c r="N630" s="80">
        <f t="shared" ref="N630:N638" si="1047">TRUNC(G630/12*0.3)</f>
        <v>3115</v>
      </c>
      <c r="O630" s="80">
        <f t="shared" ref="O630:O638" si="1048">TRUNC(((H630+I630)/2)/12*0.3)</f>
        <v>3437</v>
      </c>
      <c r="P630" s="81"/>
      <c r="Q630" s="81"/>
      <c r="R630" s="81"/>
      <c r="S630" s="81"/>
      <c r="T630" s="81"/>
      <c r="U630" s="81"/>
      <c r="V630" s="81"/>
      <c r="W630" s="81"/>
      <c r="X630" s="81"/>
      <c r="Y630" s="81"/>
      <c r="Z630" s="81"/>
      <c r="AA630" s="81"/>
      <c r="AB630" s="81"/>
      <c r="AC630" s="81"/>
      <c r="AD630" s="81"/>
      <c r="AE630" s="81"/>
      <c r="AF630" s="81"/>
    </row>
    <row r="631" spans="1:32">
      <c r="A631" s="76" t="s">
        <v>1365</v>
      </c>
      <c r="B631" s="79">
        <f>B621*2*1.2</f>
        <v>82080</v>
      </c>
      <c r="C631" s="79">
        <f t="shared" ref="C631:I631" si="1049">C621*2*1.2</f>
        <v>93720</v>
      </c>
      <c r="D631" s="79">
        <f t="shared" si="1049"/>
        <v>105480</v>
      </c>
      <c r="E631" s="79">
        <f t="shared" si="1049"/>
        <v>117120</v>
      </c>
      <c r="F631" s="79">
        <f t="shared" si="1049"/>
        <v>126600</v>
      </c>
      <c r="G631" s="79">
        <f t="shared" si="1049"/>
        <v>135960</v>
      </c>
      <c r="H631" s="79">
        <f t="shared" si="1049"/>
        <v>145320</v>
      </c>
      <c r="I631" s="79">
        <f t="shared" si="1049"/>
        <v>154680</v>
      </c>
      <c r="J631" s="80">
        <f t="shared" si="1043"/>
        <v>2052</v>
      </c>
      <c r="K631" s="80">
        <f t="shared" si="1044"/>
        <v>2197</v>
      </c>
      <c r="L631" s="80">
        <f t="shared" si="1045"/>
        <v>2637</v>
      </c>
      <c r="M631" s="80">
        <f t="shared" si="1046"/>
        <v>3046</v>
      </c>
      <c r="N631" s="80">
        <f t="shared" si="1047"/>
        <v>3399</v>
      </c>
      <c r="O631" s="80">
        <f t="shared" si="1048"/>
        <v>3750</v>
      </c>
      <c r="P631" s="81"/>
      <c r="Q631" s="81"/>
      <c r="R631" s="81"/>
      <c r="S631" s="81"/>
      <c r="T631" s="81"/>
      <c r="U631" s="81"/>
      <c r="V631" s="81"/>
      <c r="W631" s="81"/>
      <c r="X631" s="81"/>
      <c r="Y631" s="81"/>
      <c r="Z631" s="81"/>
      <c r="AA631" s="81"/>
      <c r="AB631" s="81"/>
      <c r="AC631" s="81"/>
      <c r="AD631" s="81"/>
      <c r="AE631" s="81"/>
      <c r="AF631" s="81"/>
    </row>
    <row r="632" spans="1:32">
      <c r="A632" s="76" t="s">
        <v>1366</v>
      </c>
      <c r="B632" s="79">
        <f>B639*2*0.15</f>
        <v>8295</v>
      </c>
      <c r="C632" s="79">
        <f>C639*2*0.15</f>
        <v>9480</v>
      </c>
      <c r="D632" s="79">
        <f>D639*2*0.15</f>
        <v>10665</v>
      </c>
      <c r="E632" s="79">
        <f>E639*2*0.15</f>
        <v>11850</v>
      </c>
      <c r="F632" s="79">
        <f>F639*2*0.15</f>
        <v>12810</v>
      </c>
      <c r="G632" s="79">
        <f t="shared" ref="G632:I632" si="1050">G639*2*0.15</f>
        <v>13755</v>
      </c>
      <c r="H632" s="79">
        <f t="shared" si="1050"/>
        <v>14700</v>
      </c>
      <c r="I632" s="79">
        <f t="shared" si="1050"/>
        <v>15645</v>
      </c>
      <c r="J632" s="80">
        <f t="shared" si="1043"/>
        <v>207</v>
      </c>
      <c r="K632" s="80">
        <f t="shared" si="1044"/>
        <v>222</v>
      </c>
      <c r="L632" s="80">
        <f t="shared" si="1045"/>
        <v>266</v>
      </c>
      <c r="M632" s="80">
        <f t="shared" si="1046"/>
        <v>308</v>
      </c>
      <c r="N632" s="80">
        <f t="shared" si="1047"/>
        <v>343</v>
      </c>
      <c r="O632" s="80">
        <f t="shared" si="1048"/>
        <v>379</v>
      </c>
      <c r="P632" s="81"/>
      <c r="Q632" s="81"/>
      <c r="R632" s="81"/>
      <c r="S632" s="81"/>
      <c r="T632" s="81"/>
      <c r="U632" s="81"/>
      <c r="V632" s="81"/>
      <c r="W632" s="81"/>
      <c r="X632" s="81"/>
      <c r="Y632" s="81"/>
      <c r="Z632" s="81"/>
      <c r="AA632" s="81"/>
      <c r="AB632" s="81"/>
      <c r="AC632" s="81"/>
      <c r="AD632" s="81"/>
      <c r="AE632" s="81"/>
      <c r="AF632" s="81"/>
    </row>
    <row r="633" spans="1:32">
      <c r="A633" s="76" t="s">
        <v>1367</v>
      </c>
      <c r="B633" s="79">
        <f>B639*2*0.2</f>
        <v>11060</v>
      </c>
      <c r="C633" s="79">
        <f t="shared" ref="C633:I633" si="1051">C639*2*0.2</f>
        <v>12640</v>
      </c>
      <c r="D633" s="79">
        <f t="shared" si="1051"/>
        <v>14220</v>
      </c>
      <c r="E633" s="79">
        <f t="shared" si="1051"/>
        <v>15800</v>
      </c>
      <c r="F633" s="79">
        <f t="shared" si="1051"/>
        <v>17080</v>
      </c>
      <c r="G633" s="79">
        <f t="shared" si="1051"/>
        <v>18340</v>
      </c>
      <c r="H633" s="79">
        <f t="shared" si="1051"/>
        <v>19600</v>
      </c>
      <c r="I633" s="79">
        <f t="shared" si="1051"/>
        <v>20860</v>
      </c>
      <c r="J633" s="80">
        <f t="shared" si="1043"/>
        <v>276</v>
      </c>
      <c r="K633" s="80">
        <f t="shared" si="1044"/>
        <v>296</v>
      </c>
      <c r="L633" s="80">
        <f t="shared" si="1045"/>
        <v>355</v>
      </c>
      <c r="M633" s="80">
        <f t="shared" si="1046"/>
        <v>411</v>
      </c>
      <c r="N633" s="80">
        <f t="shared" si="1047"/>
        <v>458</v>
      </c>
      <c r="O633" s="80">
        <f t="shared" si="1048"/>
        <v>505</v>
      </c>
      <c r="P633" s="81"/>
      <c r="Q633" s="81"/>
      <c r="R633" s="81"/>
      <c r="S633" s="81"/>
      <c r="T633" s="81"/>
      <c r="U633" s="81"/>
      <c r="V633" s="81"/>
      <c r="W633" s="81"/>
      <c r="X633" s="81"/>
      <c r="Y633" s="81"/>
      <c r="Z633" s="81"/>
      <c r="AA633" s="81"/>
      <c r="AB633" s="81"/>
      <c r="AC633" s="81"/>
      <c r="AD633" s="81"/>
      <c r="AE633" s="81"/>
      <c r="AF633" s="81"/>
    </row>
    <row r="634" spans="1:32">
      <c r="A634" s="76" t="s">
        <v>1368</v>
      </c>
      <c r="B634" s="79">
        <f>B639*2*0.25</f>
        <v>13825</v>
      </c>
      <c r="C634" s="79">
        <f t="shared" ref="C634:I634" si="1052">C639*2*0.25</f>
        <v>15800</v>
      </c>
      <c r="D634" s="79">
        <f t="shared" si="1052"/>
        <v>17775</v>
      </c>
      <c r="E634" s="79">
        <f t="shared" si="1052"/>
        <v>19750</v>
      </c>
      <c r="F634" s="79">
        <f t="shared" si="1052"/>
        <v>21350</v>
      </c>
      <c r="G634" s="79">
        <f t="shared" si="1052"/>
        <v>22925</v>
      </c>
      <c r="H634" s="79">
        <f t="shared" si="1052"/>
        <v>24500</v>
      </c>
      <c r="I634" s="79">
        <f t="shared" si="1052"/>
        <v>26075</v>
      </c>
      <c r="J634" s="80">
        <f t="shared" si="1043"/>
        <v>345</v>
      </c>
      <c r="K634" s="80">
        <f t="shared" si="1044"/>
        <v>370</v>
      </c>
      <c r="L634" s="80">
        <f t="shared" si="1045"/>
        <v>444</v>
      </c>
      <c r="M634" s="80">
        <f t="shared" si="1046"/>
        <v>513</v>
      </c>
      <c r="N634" s="80">
        <f t="shared" si="1047"/>
        <v>573</v>
      </c>
      <c r="O634" s="80">
        <f t="shared" si="1048"/>
        <v>632</v>
      </c>
      <c r="P634" s="81"/>
      <c r="Q634" s="81"/>
      <c r="R634" s="81"/>
      <c r="S634" s="81"/>
      <c r="T634" s="81"/>
      <c r="U634" s="81"/>
      <c r="V634" s="81"/>
      <c r="W634" s="81"/>
      <c r="X634" s="81"/>
      <c r="Y634" s="81"/>
      <c r="Z634" s="81"/>
      <c r="AA634" s="81"/>
      <c r="AB634" s="81"/>
      <c r="AC634" s="81"/>
      <c r="AD634" s="81"/>
      <c r="AE634" s="81"/>
      <c r="AF634" s="81"/>
    </row>
    <row r="635" spans="1:32">
      <c r="A635" s="76" t="s">
        <v>1369</v>
      </c>
      <c r="B635" s="79">
        <f>B639*2*0.3</f>
        <v>16590</v>
      </c>
      <c r="C635" s="79">
        <f t="shared" ref="C635:I635" si="1053">C639*2*0.3</f>
        <v>18960</v>
      </c>
      <c r="D635" s="79">
        <f t="shared" si="1053"/>
        <v>21330</v>
      </c>
      <c r="E635" s="79">
        <f t="shared" si="1053"/>
        <v>23700</v>
      </c>
      <c r="F635" s="79">
        <f t="shared" si="1053"/>
        <v>25620</v>
      </c>
      <c r="G635" s="79">
        <f t="shared" si="1053"/>
        <v>27510</v>
      </c>
      <c r="H635" s="79">
        <f t="shared" si="1053"/>
        <v>29400</v>
      </c>
      <c r="I635" s="79">
        <f t="shared" si="1053"/>
        <v>31290</v>
      </c>
      <c r="J635" s="80">
        <f t="shared" si="1043"/>
        <v>414</v>
      </c>
      <c r="K635" s="80">
        <f t="shared" si="1044"/>
        <v>444</v>
      </c>
      <c r="L635" s="80">
        <f t="shared" si="1045"/>
        <v>533</v>
      </c>
      <c r="M635" s="80">
        <f t="shared" si="1046"/>
        <v>616</v>
      </c>
      <c r="N635" s="80">
        <f t="shared" si="1047"/>
        <v>687</v>
      </c>
      <c r="O635" s="80">
        <f t="shared" si="1048"/>
        <v>758</v>
      </c>
      <c r="P635" s="81"/>
      <c r="Q635" s="81"/>
      <c r="R635" s="81"/>
      <c r="S635" s="81"/>
      <c r="T635" s="81"/>
      <c r="U635" s="81"/>
      <c r="V635" s="81"/>
      <c r="W635" s="81"/>
      <c r="X635" s="81"/>
      <c r="Y635" s="81"/>
      <c r="Z635" s="81"/>
      <c r="AA635" s="81"/>
      <c r="AB635" s="81"/>
      <c r="AC635" s="81"/>
      <c r="AD635" s="81"/>
      <c r="AE635" s="81"/>
      <c r="AF635" s="81"/>
    </row>
    <row r="636" spans="1:32">
      <c r="A636" s="76" t="s">
        <v>1370</v>
      </c>
      <c r="B636" s="79">
        <f>B639*2*0.35</f>
        <v>19355</v>
      </c>
      <c r="C636" s="79">
        <f t="shared" ref="C636:I636" si="1054">C639*2*0.35</f>
        <v>22120</v>
      </c>
      <c r="D636" s="79">
        <f t="shared" si="1054"/>
        <v>24885</v>
      </c>
      <c r="E636" s="79">
        <f t="shared" si="1054"/>
        <v>27650</v>
      </c>
      <c r="F636" s="79">
        <f t="shared" si="1054"/>
        <v>29889.999999999996</v>
      </c>
      <c r="G636" s="79">
        <f t="shared" si="1054"/>
        <v>32094.999999999996</v>
      </c>
      <c r="H636" s="79">
        <f t="shared" si="1054"/>
        <v>34300</v>
      </c>
      <c r="I636" s="79">
        <f t="shared" si="1054"/>
        <v>36505</v>
      </c>
      <c r="J636" s="80">
        <f t="shared" si="1043"/>
        <v>483</v>
      </c>
      <c r="K636" s="80">
        <f t="shared" si="1044"/>
        <v>518</v>
      </c>
      <c r="L636" s="80">
        <f t="shared" si="1045"/>
        <v>622</v>
      </c>
      <c r="M636" s="80">
        <f t="shared" si="1046"/>
        <v>719</v>
      </c>
      <c r="N636" s="80">
        <f t="shared" si="1047"/>
        <v>802</v>
      </c>
      <c r="O636" s="80">
        <f t="shared" si="1048"/>
        <v>885</v>
      </c>
      <c r="P636" s="81"/>
      <c r="Q636" s="81"/>
      <c r="R636" s="81"/>
      <c r="S636" s="81"/>
      <c r="T636" s="81"/>
      <c r="U636" s="81"/>
      <c r="V636" s="81"/>
      <c r="W636" s="81"/>
      <c r="X636" s="81"/>
      <c r="Y636" s="81"/>
      <c r="Z636" s="81"/>
      <c r="AA636" s="81"/>
      <c r="AB636" s="81"/>
      <c r="AC636" s="81"/>
      <c r="AD636" s="81"/>
      <c r="AE636" s="81"/>
      <c r="AF636" s="81"/>
    </row>
    <row r="637" spans="1:32">
      <c r="A637" s="76" t="s">
        <v>1371</v>
      </c>
      <c r="B637" s="79">
        <f>B639*2*0.4</f>
        <v>22120</v>
      </c>
      <c r="C637" s="79">
        <f t="shared" ref="C637:I637" si="1055">C639*2*0.4</f>
        <v>25280</v>
      </c>
      <c r="D637" s="79">
        <f t="shared" si="1055"/>
        <v>28440</v>
      </c>
      <c r="E637" s="79">
        <f t="shared" si="1055"/>
        <v>31600</v>
      </c>
      <c r="F637" s="79">
        <f t="shared" si="1055"/>
        <v>34160</v>
      </c>
      <c r="G637" s="79">
        <f t="shared" si="1055"/>
        <v>36680</v>
      </c>
      <c r="H637" s="79">
        <f t="shared" si="1055"/>
        <v>39200</v>
      </c>
      <c r="I637" s="79">
        <f t="shared" si="1055"/>
        <v>41720</v>
      </c>
      <c r="J637" s="80">
        <f t="shared" si="1043"/>
        <v>553</v>
      </c>
      <c r="K637" s="80">
        <f t="shared" si="1044"/>
        <v>592</v>
      </c>
      <c r="L637" s="80">
        <f t="shared" si="1045"/>
        <v>711</v>
      </c>
      <c r="M637" s="80">
        <f t="shared" si="1046"/>
        <v>822</v>
      </c>
      <c r="N637" s="80">
        <f t="shared" si="1047"/>
        <v>917</v>
      </c>
      <c r="O637" s="80">
        <f t="shared" si="1048"/>
        <v>1011</v>
      </c>
      <c r="P637" s="81"/>
      <c r="Q637" s="81"/>
      <c r="R637" s="81"/>
      <c r="S637" s="81"/>
      <c r="T637" s="81"/>
      <c r="U637" s="81"/>
      <c r="V637" s="81"/>
      <c r="W637" s="81"/>
      <c r="X637" s="81"/>
      <c r="Y637" s="81"/>
      <c r="Z637" s="81"/>
      <c r="AA637" s="81"/>
      <c r="AB637" s="81"/>
      <c r="AC637" s="81"/>
      <c r="AD637" s="81"/>
      <c r="AE637" s="81"/>
      <c r="AF637" s="81"/>
    </row>
    <row r="638" spans="1:32">
      <c r="A638" s="76" t="s">
        <v>1372</v>
      </c>
      <c r="B638" s="79">
        <f>B639*2*0.45</f>
        <v>24885</v>
      </c>
      <c r="C638" s="79">
        <f t="shared" ref="C638:I638" si="1056">C639*2*0.45</f>
        <v>28440</v>
      </c>
      <c r="D638" s="79">
        <f t="shared" si="1056"/>
        <v>31995</v>
      </c>
      <c r="E638" s="79">
        <f t="shared" si="1056"/>
        <v>35550</v>
      </c>
      <c r="F638" s="79">
        <f t="shared" si="1056"/>
        <v>38430</v>
      </c>
      <c r="G638" s="79">
        <f t="shared" si="1056"/>
        <v>41265</v>
      </c>
      <c r="H638" s="79">
        <f t="shared" si="1056"/>
        <v>44100</v>
      </c>
      <c r="I638" s="79">
        <f t="shared" si="1056"/>
        <v>46935</v>
      </c>
      <c r="J638" s="80">
        <f t="shared" si="1043"/>
        <v>622</v>
      </c>
      <c r="K638" s="80">
        <f t="shared" si="1044"/>
        <v>666</v>
      </c>
      <c r="L638" s="80">
        <f t="shared" si="1045"/>
        <v>799</v>
      </c>
      <c r="M638" s="80">
        <f t="shared" si="1046"/>
        <v>924</v>
      </c>
      <c r="N638" s="80">
        <f t="shared" si="1047"/>
        <v>1031</v>
      </c>
      <c r="O638" s="80">
        <f t="shared" si="1048"/>
        <v>1137</v>
      </c>
      <c r="P638" s="81"/>
      <c r="Q638" s="81"/>
      <c r="R638" s="81"/>
      <c r="S638" s="81"/>
      <c r="T638" s="81"/>
      <c r="U638" s="81"/>
      <c r="V638" s="81"/>
      <c r="W638" s="81"/>
      <c r="X638" s="81"/>
      <c r="Y638" s="81"/>
      <c r="Z638" s="81"/>
      <c r="AA638" s="81"/>
      <c r="AB638" s="81"/>
      <c r="AC638" s="81"/>
      <c r="AD638" s="81"/>
      <c r="AE638" s="81"/>
      <c r="AF638" s="81"/>
    </row>
    <row r="639" spans="1:32">
      <c r="A639" s="82" t="s">
        <v>1373</v>
      </c>
      <c r="B639" s="84">
        <f>'MTSP 50% Income Limits '!B37</f>
        <v>27650</v>
      </c>
      <c r="C639" s="84">
        <f>'MTSP 50% Income Limits '!C37</f>
        <v>31600</v>
      </c>
      <c r="D639" s="84">
        <f>'MTSP 50% Income Limits '!D37</f>
        <v>35550</v>
      </c>
      <c r="E639" s="84">
        <f>'MTSP 50% Income Limits '!E37</f>
        <v>39500</v>
      </c>
      <c r="F639" s="84">
        <f>'MTSP 50% Income Limits '!F37</f>
        <v>42700</v>
      </c>
      <c r="G639" s="84">
        <f>'MTSP 50% Income Limits '!G37</f>
        <v>45850</v>
      </c>
      <c r="H639" s="84">
        <f>'MTSP 50% Income Limits '!H37</f>
        <v>49000</v>
      </c>
      <c r="I639" s="84">
        <f>'MTSP 50% Income Limits '!I37</f>
        <v>52150</v>
      </c>
      <c r="J639" s="83">
        <f>TRUNC(B639/12*0.3)</f>
        <v>691</v>
      </c>
      <c r="K639" s="83">
        <f>TRUNC((B639+C639)/2/12*0.3)</f>
        <v>740</v>
      </c>
      <c r="L639" s="83">
        <f>TRUNC((D639)/12*0.3)</f>
        <v>888</v>
      </c>
      <c r="M639" s="83">
        <f>TRUNC(((E639+F639)/2)/12*0.3)</f>
        <v>1027</v>
      </c>
      <c r="N639" s="83">
        <f>TRUNC(G639/12*0.3)</f>
        <v>1146</v>
      </c>
      <c r="O639" s="83">
        <f>TRUNC(((H639+I639)/2)/12*0.3)</f>
        <v>1264</v>
      </c>
      <c r="P639" s="81"/>
      <c r="Q639" s="81"/>
      <c r="R639" s="81"/>
      <c r="S639" s="81"/>
      <c r="T639" s="81"/>
      <c r="U639" s="81"/>
      <c r="V639" s="81"/>
      <c r="W639" s="81"/>
      <c r="X639" s="81"/>
      <c r="Y639" s="81"/>
      <c r="Z639" s="81"/>
      <c r="AA639" s="81"/>
      <c r="AB639" s="81"/>
      <c r="AC639" s="81"/>
      <c r="AD639" s="81"/>
      <c r="AE639" s="81"/>
      <c r="AF639" s="81"/>
    </row>
    <row r="640" spans="1:32">
      <c r="A640" s="76" t="s">
        <v>1374</v>
      </c>
      <c r="B640" s="79">
        <f>B639*2*0.55</f>
        <v>30415.000000000004</v>
      </c>
      <c r="C640" s="79">
        <f t="shared" ref="C640:I640" si="1057">C639*2*0.55</f>
        <v>34760</v>
      </c>
      <c r="D640" s="79">
        <f t="shared" si="1057"/>
        <v>39105</v>
      </c>
      <c r="E640" s="79">
        <f t="shared" si="1057"/>
        <v>43450</v>
      </c>
      <c r="F640" s="79">
        <f t="shared" si="1057"/>
        <v>46970.000000000007</v>
      </c>
      <c r="G640" s="79">
        <f t="shared" si="1057"/>
        <v>50435.000000000007</v>
      </c>
      <c r="H640" s="79">
        <f t="shared" si="1057"/>
        <v>53900.000000000007</v>
      </c>
      <c r="I640" s="79">
        <f t="shared" si="1057"/>
        <v>57365.000000000007</v>
      </c>
      <c r="J640" s="80">
        <f t="shared" ref="J640:J646" si="1058">TRUNC(B640/12*0.3)</f>
        <v>760</v>
      </c>
      <c r="K640" s="80">
        <f t="shared" ref="K640:K646" si="1059">TRUNC((B640+C640)/2/12*0.3)</f>
        <v>814</v>
      </c>
      <c r="L640" s="80">
        <f t="shared" ref="L640:L646" si="1060">TRUNC((D640)/12*0.3)</f>
        <v>977</v>
      </c>
      <c r="M640" s="80">
        <f t="shared" ref="M640:M646" si="1061">TRUNC(((E640+F640)/2)/12*0.3)</f>
        <v>1130</v>
      </c>
      <c r="N640" s="80">
        <f t="shared" ref="N640:N646" si="1062">TRUNC(G640/12*0.3)</f>
        <v>1260</v>
      </c>
      <c r="O640" s="80">
        <f t="shared" ref="O640:O646" si="1063">TRUNC(((H640+I640)/2)/12*0.3)</f>
        <v>1390</v>
      </c>
      <c r="P640" s="81"/>
      <c r="Q640" s="81"/>
      <c r="R640" s="81"/>
      <c r="S640" s="81"/>
      <c r="T640" s="81"/>
      <c r="U640" s="81"/>
      <c r="V640" s="81"/>
      <c r="W640" s="81"/>
      <c r="X640" s="81"/>
      <c r="Y640" s="81"/>
      <c r="Z640" s="81"/>
      <c r="AA640" s="81"/>
      <c r="AB640" s="81"/>
      <c r="AC640" s="81"/>
      <c r="AD640" s="81"/>
      <c r="AE640" s="81"/>
      <c r="AF640" s="81"/>
    </row>
    <row r="641" spans="1:32">
      <c r="A641" s="76" t="s">
        <v>1375</v>
      </c>
      <c r="B641" s="79">
        <f>B639*2*0.6</f>
        <v>33180</v>
      </c>
      <c r="C641" s="79">
        <f t="shared" ref="C641:I641" si="1064">C639*2*0.6</f>
        <v>37920</v>
      </c>
      <c r="D641" s="79">
        <f t="shared" si="1064"/>
        <v>42660</v>
      </c>
      <c r="E641" s="79">
        <f t="shared" si="1064"/>
        <v>47400</v>
      </c>
      <c r="F641" s="79">
        <f t="shared" si="1064"/>
        <v>51240</v>
      </c>
      <c r="G641" s="79">
        <f t="shared" si="1064"/>
        <v>55020</v>
      </c>
      <c r="H641" s="79">
        <f t="shared" si="1064"/>
        <v>58800</v>
      </c>
      <c r="I641" s="79">
        <f t="shared" si="1064"/>
        <v>62580</v>
      </c>
      <c r="J641" s="80">
        <f t="shared" si="1058"/>
        <v>829</v>
      </c>
      <c r="K641" s="80">
        <f t="shared" si="1059"/>
        <v>888</v>
      </c>
      <c r="L641" s="80">
        <f t="shared" si="1060"/>
        <v>1066</v>
      </c>
      <c r="M641" s="80">
        <f t="shared" si="1061"/>
        <v>1233</v>
      </c>
      <c r="N641" s="80">
        <f t="shared" si="1062"/>
        <v>1375</v>
      </c>
      <c r="O641" s="80">
        <f t="shared" si="1063"/>
        <v>1517</v>
      </c>
      <c r="P641" s="81"/>
      <c r="Q641" s="81"/>
      <c r="R641" s="81"/>
      <c r="S641" s="81"/>
      <c r="T641" s="81"/>
      <c r="U641" s="81"/>
      <c r="V641" s="81"/>
      <c r="W641" s="81"/>
      <c r="X641" s="81"/>
      <c r="Y641" s="81"/>
      <c r="Z641" s="81"/>
      <c r="AA641" s="81"/>
      <c r="AB641" s="81"/>
      <c r="AC641" s="81"/>
      <c r="AD641" s="81"/>
      <c r="AE641" s="81"/>
      <c r="AF641" s="81"/>
    </row>
    <row r="642" spans="1:32">
      <c r="A642" s="76" t="s">
        <v>1376</v>
      </c>
      <c r="B642" s="79">
        <f>B639*2*0.65</f>
        <v>35945</v>
      </c>
      <c r="C642" s="79">
        <f t="shared" ref="C642:I642" si="1065">C639*2*0.65</f>
        <v>41080</v>
      </c>
      <c r="D642" s="79">
        <f t="shared" si="1065"/>
        <v>46215</v>
      </c>
      <c r="E642" s="79">
        <f t="shared" si="1065"/>
        <v>51350</v>
      </c>
      <c r="F642" s="79">
        <f t="shared" si="1065"/>
        <v>55510</v>
      </c>
      <c r="G642" s="79">
        <f t="shared" si="1065"/>
        <v>59605</v>
      </c>
      <c r="H642" s="79">
        <f t="shared" si="1065"/>
        <v>63700</v>
      </c>
      <c r="I642" s="79">
        <f t="shared" si="1065"/>
        <v>67795</v>
      </c>
      <c r="J642" s="80">
        <f t="shared" si="1058"/>
        <v>898</v>
      </c>
      <c r="K642" s="80">
        <f t="shared" si="1059"/>
        <v>962</v>
      </c>
      <c r="L642" s="80">
        <f t="shared" si="1060"/>
        <v>1155</v>
      </c>
      <c r="M642" s="80">
        <f t="shared" si="1061"/>
        <v>1335</v>
      </c>
      <c r="N642" s="80">
        <f t="shared" si="1062"/>
        <v>1490</v>
      </c>
      <c r="O642" s="80">
        <f t="shared" si="1063"/>
        <v>1643</v>
      </c>
      <c r="P642" s="81"/>
      <c r="Q642" s="81"/>
      <c r="R642" s="81"/>
      <c r="S642" s="81"/>
      <c r="T642" s="81"/>
      <c r="U642" s="81"/>
      <c r="V642" s="81"/>
      <c r="W642" s="81"/>
      <c r="X642" s="81"/>
      <c r="Y642" s="81"/>
      <c r="Z642" s="81"/>
      <c r="AA642" s="81"/>
      <c r="AB642" s="81"/>
      <c r="AC642" s="81"/>
      <c r="AD642" s="81"/>
      <c r="AE642" s="81"/>
      <c r="AF642" s="81"/>
    </row>
    <row r="643" spans="1:32">
      <c r="A643" s="76" t="s">
        <v>1377</v>
      </c>
      <c r="B643" s="79">
        <f>B639*2*0.7</f>
        <v>38710</v>
      </c>
      <c r="C643" s="79">
        <f t="shared" ref="C643:I643" si="1066">C639*2*0.7</f>
        <v>44240</v>
      </c>
      <c r="D643" s="79">
        <f t="shared" si="1066"/>
        <v>49770</v>
      </c>
      <c r="E643" s="79">
        <f t="shared" si="1066"/>
        <v>55300</v>
      </c>
      <c r="F643" s="79">
        <f t="shared" si="1066"/>
        <v>59779.999999999993</v>
      </c>
      <c r="G643" s="79">
        <f t="shared" si="1066"/>
        <v>64189.999999999993</v>
      </c>
      <c r="H643" s="79">
        <f t="shared" si="1066"/>
        <v>68600</v>
      </c>
      <c r="I643" s="79">
        <f t="shared" si="1066"/>
        <v>73010</v>
      </c>
      <c r="J643" s="80">
        <f t="shared" si="1058"/>
        <v>967</v>
      </c>
      <c r="K643" s="80">
        <f t="shared" si="1059"/>
        <v>1036</v>
      </c>
      <c r="L643" s="80">
        <f t="shared" si="1060"/>
        <v>1244</v>
      </c>
      <c r="M643" s="80">
        <f t="shared" si="1061"/>
        <v>1438</v>
      </c>
      <c r="N643" s="80">
        <f t="shared" si="1062"/>
        <v>1604</v>
      </c>
      <c r="O643" s="80">
        <f t="shared" si="1063"/>
        <v>1770</v>
      </c>
      <c r="P643" s="81"/>
      <c r="Q643" s="81"/>
      <c r="R643" s="81"/>
      <c r="S643" s="81"/>
      <c r="T643" s="81"/>
      <c r="U643" s="81"/>
      <c r="V643" s="81"/>
      <c r="W643" s="81"/>
      <c r="X643" s="81"/>
      <c r="Y643" s="81"/>
      <c r="Z643" s="81"/>
      <c r="AA643" s="81"/>
      <c r="AB643" s="81"/>
      <c r="AC643" s="81"/>
      <c r="AD643" s="81"/>
      <c r="AE643" s="81"/>
      <c r="AF643" s="81"/>
    </row>
    <row r="644" spans="1:32">
      <c r="A644" s="76" t="s">
        <v>1378</v>
      </c>
      <c r="B644" s="79">
        <f>B639*2*0.75</f>
        <v>41475</v>
      </c>
      <c r="C644" s="79">
        <f t="shared" ref="C644:I644" si="1067">C639*2*0.75</f>
        <v>47400</v>
      </c>
      <c r="D644" s="79">
        <f t="shared" si="1067"/>
        <v>53325</v>
      </c>
      <c r="E644" s="79">
        <f t="shared" si="1067"/>
        <v>59250</v>
      </c>
      <c r="F644" s="79">
        <f t="shared" si="1067"/>
        <v>64050</v>
      </c>
      <c r="G644" s="79">
        <f t="shared" si="1067"/>
        <v>68775</v>
      </c>
      <c r="H644" s="79">
        <f t="shared" si="1067"/>
        <v>73500</v>
      </c>
      <c r="I644" s="79">
        <f t="shared" si="1067"/>
        <v>78225</v>
      </c>
      <c r="J644" s="80">
        <f t="shared" si="1058"/>
        <v>1036</v>
      </c>
      <c r="K644" s="80">
        <f t="shared" si="1059"/>
        <v>1110</v>
      </c>
      <c r="L644" s="80">
        <f t="shared" si="1060"/>
        <v>1333</v>
      </c>
      <c r="M644" s="80">
        <f t="shared" si="1061"/>
        <v>1541</v>
      </c>
      <c r="N644" s="80">
        <f t="shared" si="1062"/>
        <v>1719</v>
      </c>
      <c r="O644" s="80">
        <f t="shared" si="1063"/>
        <v>1896</v>
      </c>
      <c r="P644" s="81"/>
      <c r="Q644" s="81"/>
      <c r="R644" s="81"/>
      <c r="S644" s="81"/>
      <c r="T644" s="81"/>
      <c r="U644" s="81"/>
      <c r="V644" s="81"/>
      <c r="W644" s="81"/>
      <c r="X644" s="81"/>
      <c r="Y644" s="81"/>
      <c r="Z644" s="81"/>
      <c r="AA644" s="81"/>
      <c r="AB644" s="81"/>
      <c r="AC644" s="81"/>
      <c r="AD644" s="81"/>
      <c r="AE644" s="81"/>
      <c r="AF644" s="81"/>
    </row>
    <row r="645" spans="1:32">
      <c r="A645" s="76" t="s">
        <v>1379</v>
      </c>
      <c r="B645" s="79">
        <f>B639*2*0.8</f>
        <v>44240</v>
      </c>
      <c r="C645" s="79">
        <f t="shared" ref="C645:I645" si="1068">C639*2*0.8</f>
        <v>50560</v>
      </c>
      <c r="D645" s="79">
        <f t="shared" si="1068"/>
        <v>56880</v>
      </c>
      <c r="E645" s="79">
        <f t="shared" si="1068"/>
        <v>63200</v>
      </c>
      <c r="F645" s="79">
        <f t="shared" si="1068"/>
        <v>68320</v>
      </c>
      <c r="G645" s="79">
        <f t="shared" si="1068"/>
        <v>73360</v>
      </c>
      <c r="H645" s="79">
        <f t="shared" si="1068"/>
        <v>78400</v>
      </c>
      <c r="I645" s="79">
        <f t="shared" si="1068"/>
        <v>83440</v>
      </c>
      <c r="J645" s="80">
        <f t="shared" si="1058"/>
        <v>1106</v>
      </c>
      <c r="K645" s="80">
        <f t="shared" si="1059"/>
        <v>1185</v>
      </c>
      <c r="L645" s="80">
        <f t="shared" si="1060"/>
        <v>1422</v>
      </c>
      <c r="M645" s="80">
        <f t="shared" si="1061"/>
        <v>1644</v>
      </c>
      <c r="N645" s="80">
        <f t="shared" si="1062"/>
        <v>1834</v>
      </c>
      <c r="O645" s="80">
        <f t="shared" si="1063"/>
        <v>2023</v>
      </c>
      <c r="P645" s="81"/>
      <c r="Q645" s="81"/>
      <c r="R645" s="81"/>
      <c r="S645" s="81"/>
      <c r="T645" s="81"/>
      <c r="U645" s="81"/>
      <c r="V645" s="81"/>
      <c r="W645" s="81"/>
      <c r="X645" s="81"/>
      <c r="Y645" s="81"/>
      <c r="Z645" s="81"/>
      <c r="AA645" s="81"/>
      <c r="AB645" s="81"/>
      <c r="AC645" s="81"/>
      <c r="AD645" s="81"/>
      <c r="AE645" s="81"/>
      <c r="AF645" s="81"/>
    </row>
    <row r="646" spans="1:32">
      <c r="A646" s="76" t="s">
        <v>1380</v>
      </c>
      <c r="B646" s="79">
        <f>B639*2*0.9</f>
        <v>49770</v>
      </c>
      <c r="C646" s="79">
        <f t="shared" ref="C646:I646" si="1069">C639*2*0.9</f>
        <v>56880</v>
      </c>
      <c r="D646" s="79">
        <f t="shared" si="1069"/>
        <v>63990</v>
      </c>
      <c r="E646" s="79">
        <f t="shared" si="1069"/>
        <v>71100</v>
      </c>
      <c r="F646" s="79">
        <f t="shared" si="1069"/>
        <v>76860</v>
      </c>
      <c r="G646" s="79">
        <f t="shared" si="1069"/>
        <v>82530</v>
      </c>
      <c r="H646" s="79">
        <f t="shared" si="1069"/>
        <v>88200</v>
      </c>
      <c r="I646" s="79">
        <f t="shared" si="1069"/>
        <v>93870</v>
      </c>
      <c r="J646" s="80">
        <f t="shared" si="1058"/>
        <v>1244</v>
      </c>
      <c r="K646" s="80">
        <f t="shared" si="1059"/>
        <v>1333</v>
      </c>
      <c r="L646" s="80">
        <f t="shared" si="1060"/>
        <v>1599</v>
      </c>
      <c r="M646" s="80">
        <f t="shared" si="1061"/>
        <v>1849</v>
      </c>
      <c r="N646" s="80">
        <f t="shared" si="1062"/>
        <v>2063</v>
      </c>
      <c r="O646" s="80">
        <f t="shared" si="1063"/>
        <v>2275</v>
      </c>
      <c r="P646" s="81"/>
      <c r="Q646" s="81"/>
      <c r="R646" s="81"/>
      <c r="S646" s="81"/>
      <c r="T646" s="81"/>
      <c r="U646" s="81"/>
      <c r="V646" s="81"/>
      <c r="W646" s="81"/>
      <c r="X646" s="81"/>
      <c r="Y646" s="81"/>
      <c r="Z646" s="81"/>
      <c r="AA646" s="81"/>
      <c r="AB646" s="81"/>
      <c r="AC646" s="81"/>
      <c r="AD646" s="81"/>
      <c r="AE646" s="81"/>
      <c r="AF646" s="81"/>
    </row>
    <row r="647" spans="1:32">
      <c r="A647" s="76" t="s">
        <v>1381</v>
      </c>
      <c r="B647" s="79">
        <f>B639*2</f>
        <v>55300</v>
      </c>
      <c r="C647" s="79">
        <f t="shared" ref="C647:I647" si="1070">C639*2</f>
        <v>63200</v>
      </c>
      <c r="D647" s="79">
        <f t="shared" si="1070"/>
        <v>71100</v>
      </c>
      <c r="E647" s="79">
        <f t="shared" si="1070"/>
        <v>79000</v>
      </c>
      <c r="F647" s="79">
        <f t="shared" si="1070"/>
        <v>85400</v>
      </c>
      <c r="G647" s="79">
        <f t="shared" si="1070"/>
        <v>91700</v>
      </c>
      <c r="H647" s="79">
        <f t="shared" si="1070"/>
        <v>98000</v>
      </c>
      <c r="I647" s="79">
        <f t="shared" si="1070"/>
        <v>104300</v>
      </c>
      <c r="J647" s="80">
        <f>J639*2</f>
        <v>1382</v>
      </c>
      <c r="K647" s="80">
        <f t="shared" ref="K647:O647" si="1071">K639*2</f>
        <v>1480</v>
      </c>
      <c r="L647" s="80">
        <f t="shared" si="1071"/>
        <v>1776</v>
      </c>
      <c r="M647" s="80">
        <f t="shared" si="1071"/>
        <v>2054</v>
      </c>
      <c r="N647" s="80">
        <f t="shared" si="1071"/>
        <v>2292</v>
      </c>
      <c r="O647" s="80">
        <f t="shared" si="1071"/>
        <v>2528</v>
      </c>
      <c r="P647" s="81"/>
      <c r="Q647" s="81"/>
      <c r="R647" s="81"/>
      <c r="S647" s="81"/>
      <c r="T647" s="81"/>
      <c r="U647" s="81"/>
      <c r="V647" s="81"/>
      <c r="W647" s="81"/>
      <c r="X647" s="81"/>
      <c r="Y647" s="81"/>
      <c r="Z647" s="81"/>
      <c r="AA647" s="81"/>
      <c r="AB647" s="81"/>
      <c r="AC647" s="81"/>
      <c r="AD647" s="81"/>
      <c r="AE647" s="81"/>
      <c r="AF647" s="81"/>
    </row>
    <row r="648" spans="1:32">
      <c r="A648" s="76" t="s">
        <v>1382</v>
      </c>
      <c r="B648" s="79">
        <f>B639*2*1.1</f>
        <v>60830.000000000007</v>
      </c>
      <c r="C648" s="79">
        <f t="shared" ref="C648:I648" si="1072">C639*2*1.1</f>
        <v>69520</v>
      </c>
      <c r="D648" s="79">
        <f t="shared" si="1072"/>
        <v>78210</v>
      </c>
      <c r="E648" s="79">
        <f t="shared" si="1072"/>
        <v>86900</v>
      </c>
      <c r="F648" s="79">
        <f t="shared" si="1072"/>
        <v>93940.000000000015</v>
      </c>
      <c r="G648" s="79">
        <f t="shared" si="1072"/>
        <v>100870.00000000001</v>
      </c>
      <c r="H648" s="79">
        <f t="shared" si="1072"/>
        <v>107800.00000000001</v>
      </c>
      <c r="I648" s="79">
        <f t="shared" si="1072"/>
        <v>114730.00000000001</v>
      </c>
      <c r="J648" s="80">
        <f t="shared" ref="J648:J656" si="1073">TRUNC(B648/12*0.3)</f>
        <v>1520</v>
      </c>
      <c r="K648" s="80">
        <f t="shared" ref="K648:K656" si="1074">TRUNC((B648+C648)/2/12*0.3)</f>
        <v>1629</v>
      </c>
      <c r="L648" s="80">
        <f t="shared" ref="L648:L656" si="1075">TRUNC((D648)/12*0.3)</f>
        <v>1955</v>
      </c>
      <c r="M648" s="80">
        <f t="shared" ref="M648:M656" si="1076">TRUNC(((E648+F648)/2)/12*0.3)</f>
        <v>2260</v>
      </c>
      <c r="N648" s="80">
        <f t="shared" ref="N648:N656" si="1077">TRUNC(G648/12*0.3)</f>
        <v>2521</v>
      </c>
      <c r="O648" s="80">
        <f t="shared" ref="O648:O656" si="1078">TRUNC(((H648+I648)/2)/12*0.3)</f>
        <v>2781</v>
      </c>
      <c r="P648" s="81"/>
      <c r="Q648" s="81"/>
      <c r="R648" s="81"/>
      <c r="S648" s="81"/>
      <c r="T648" s="81"/>
      <c r="U648" s="81"/>
      <c r="V648" s="81"/>
      <c r="W648" s="81"/>
      <c r="X648" s="81"/>
      <c r="Y648" s="81"/>
      <c r="Z648" s="81"/>
      <c r="AA648" s="81"/>
      <c r="AB648" s="81"/>
      <c r="AC648" s="81"/>
      <c r="AD648" s="81"/>
      <c r="AE648" s="81"/>
      <c r="AF648" s="81"/>
    </row>
    <row r="649" spans="1:32">
      <c r="A649" s="76" t="s">
        <v>1383</v>
      </c>
      <c r="B649" s="79">
        <f>B639*2*1.2</f>
        <v>66360</v>
      </c>
      <c r="C649" s="79">
        <f t="shared" ref="C649:I649" si="1079">C639*2*1.2</f>
        <v>75840</v>
      </c>
      <c r="D649" s="79">
        <f t="shared" si="1079"/>
        <v>85320</v>
      </c>
      <c r="E649" s="79">
        <f t="shared" si="1079"/>
        <v>94800</v>
      </c>
      <c r="F649" s="79">
        <f t="shared" si="1079"/>
        <v>102480</v>
      </c>
      <c r="G649" s="79">
        <f t="shared" si="1079"/>
        <v>110040</v>
      </c>
      <c r="H649" s="79">
        <f t="shared" si="1079"/>
        <v>117600</v>
      </c>
      <c r="I649" s="79">
        <f t="shared" si="1079"/>
        <v>125160</v>
      </c>
      <c r="J649" s="80">
        <f t="shared" si="1073"/>
        <v>1659</v>
      </c>
      <c r="K649" s="80">
        <f t="shared" si="1074"/>
        <v>1777</v>
      </c>
      <c r="L649" s="80">
        <f t="shared" si="1075"/>
        <v>2133</v>
      </c>
      <c r="M649" s="80">
        <f t="shared" si="1076"/>
        <v>2466</v>
      </c>
      <c r="N649" s="80">
        <f t="shared" si="1077"/>
        <v>2751</v>
      </c>
      <c r="O649" s="80">
        <f t="shared" si="1078"/>
        <v>3034</v>
      </c>
      <c r="P649" s="81"/>
      <c r="Q649" s="81"/>
      <c r="R649" s="81"/>
      <c r="S649" s="81"/>
      <c r="T649" s="81"/>
      <c r="U649" s="81"/>
      <c r="V649" s="81"/>
      <c r="W649" s="81"/>
      <c r="X649" s="81"/>
      <c r="Y649" s="81"/>
      <c r="Z649" s="81"/>
      <c r="AA649" s="81"/>
      <c r="AB649" s="81"/>
      <c r="AC649" s="81"/>
      <c r="AD649" s="81"/>
      <c r="AE649" s="81"/>
      <c r="AF649" s="81"/>
    </row>
    <row r="650" spans="1:32">
      <c r="A650" s="76" t="s">
        <v>1384</v>
      </c>
      <c r="B650" s="79">
        <f>B657*2*0.15</f>
        <v>12735</v>
      </c>
      <c r="C650" s="79">
        <f>C657*2*0.15</f>
        <v>14550</v>
      </c>
      <c r="D650" s="79">
        <f>D657*2*0.15</f>
        <v>16365</v>
      </c>
      <c r="E650" s="79">
        <f>E657*2*0.15</f>
        <v>18180</v>
      </c>
      <c r="F650" s="79">
        <f>F657*2*0.15</f>
        <v>19635</v>
      </c>
      <c r="G650" s="79">
        <f t="shared" ref="G650:I650" si="1080">G657*2*0.15</f>
        <v>21090</v>
      </c>
      <c r="H650" s="79">
        <f t="shared" si="1080"/>
        <v>22545</v>
      </c>
      <c r="I650" s="79">
        <f t="shared" si="1080"/>
        <v>24000</v>
      </c>
      <c r="J650" s="80">
        <f t="shared" si="1073"/>
        <v>318</v>
      </c>
      <c r="K650" s="80">
        <f t="shared" si="1074"/>
        <v>341</v>
      </c>
      <c r="L650" s="80">
        <f t="shared" si="1075"/>
        <v>409</v>
      </c>
      <c r="M650" s="80">
        <f t="shared" si="1076"/>
        <v>472</v>
      </c>
      <c r="N650" s="80">
        <f t="shared" si="1077"/>
        <v>527</v>
      </c>
      <c r="O650" s="80">
        <f t="shared" si="1078"/>
        <v>581</v>
      </c>
      <c r="P650" s="81"/>
      <c r="Q650" s="81"/>
      <c r="R650" s="81"/>
      <c r="S650" s="81"/>
      <c r="T650" s="81"/>
      <c r="U650" s="81"/>
      <c r="V650" s="81"/>
      <c r="W650" s="81"/>
      <c r="X650" s="81"/>
      <c r="Y650" s="81"/>
      <c r="Z650" s="81"/>
      <c r="AA650" s="81"/>
      <c r="AB650" s="81"/>
      <c r="AC650" s="81"/>
      <c r="AD650" s="81"/>
      <c r="AE650" s="81"/>
      <c r="AF650" s="81"/>
    </row>
    <row r="651" spans="1:32">
      <c r="A651" s="76" t="s">
        <v>1385</v>
      </c>
      <c r="B651" s="79">
        <f>B657*2*0.2</f>
        <v>16980</v>
      </c>
      <c r="C651" s="79">
        <f t="shared" ref="C651:I651" si="1081">C657*2*0.2</f>
        <v>19400</v>
      </c>
      <c r="D651" s="79">
        <f t="shared" si="1081"/>
        <v>21820</v>
      </c>
      <c r="E651" s="79">
        <f t="shared" si="1081"/>
        <v>24240</v>
      </c>
      <c r="F651" s="79">
        <f t="shared" si="1081"/>
        <v>26180</v>
      </c>
      <c r="G651" s="79">
        <f t="shared" si="1081"/>
        <v>28120</v>
      </c>
      <c r="H651" s="79">
        <f t="shared" si="1081"/>
        <v>30060</v>
      </c>
      <c r="I651" s="79">
        <f t="shared" si="1081"/>
        <v>32000</v>
      </c>
      <c r="J651" s="80">
        <f t="shared" si="1073"/>
        <v>424</v>
      </c>
      <c r="K651" s="80">
        <f t="shared" si="1074"/>
        <v>454</v>
      </c>
      <c r="L651" s="80">
        <f t="shared" si="1075"/>
        <v>545</v>
      </c>
      <c r="M651" s="80">
        <f t="shared" si="1076"/>
        <v>630</v>
      </c>
      <c r="N651" s="80">
        <f t="shared" si="1077"/>
        <v>703</v>
      </c>
      <c r="O651" s="80">
        <f t="shared" si="1078"/>
        <v>775</v>
      </c>
      <c r="P651" s="81"/>
      <c r="Q651" s="81"/>
      <c r="R651" s="81"/>
      <c r="S651" s="81"/>
      <c r="T651" s="81"/>
      <c r="U651" s="81"/>
      <c r="V651" s="81"/>
      <c r="W651" s="81"/>
      <c r="X651" s="81"/>
      <c r="Y651" s="81"/>
      <c r="Z651" s="81"/>
      <c r="AA651" s="81"/>
      <c r="AB651" s="81"/>
      <c r="AC651" s="81"/>
      <c r="AD651" s="81"/>
      <c r="AE651" s="81"/>
      <c r="AF651" s="81"/>
    </row>
    <row r="652" spans="1:32">
      <c r="A652" s="76" t="s">
        <v>1386</v>
      </c>
      <c r="B652" s="79">
        <f>B657*2*0.25</f>
        <v>21225</v>
      </c>
      <c r="C652" s="79">
        <f t="shared" ref="C652:I652" si="1082">C657*2*0.25</f>
        <v>24250</v>
      </c>
      <c r="D652" s="79">
        <f t="shared" si="1082"/>
        <v>27275</v>
      </c>
      <c r="E652" s="79">
        <f t="shared" si="1082"/>
        <v>30300</v>
      </c>
      <c r="F652" s="79">
        <f t="shared" si="1082"/>
        <v>32725</v>
      </c>
      <c r="G652" s="79">
        <f t="shared" si="1082"/>
        <v>35150</v>
      </c>
      <c r="H652" s="79">
        <f t="shared" si="1082"/>
        <v>37575</v>
      </c>
      <c r="I652" s="79">
        <f t="shared" si="1082"/>
        <v>40000</v>
      </c>
      <c r="J652" s="80">
        <f t="shared" si="1073"/>
        <v>530</v>
      </c>
      <c r="K652" s="80">
        <f t="shared" si="1074"/>
        <v>568</v>
      </c>
      <c r="L652" s="80">
        <f t="shared" si="1075"/>
        <v>681</v>
      </c>
      <c r="M652" s="80">
        <f t="shared" si="1076"/>
        <v>787</v>
      </c>
      <c r="N652" s="80">
        <f t="shared" si="1077"/>
        <v>878</v>
      </c>
      <c r="O652" s="80">
        <f t="shared" si="1078"/>
        <v>969</v>
      </c>
      <c r="P652" s="81"/>
      <c r="Q652" s="81"/>
      <c r="R652" s="81"/>
      <c r="S652" s="81"/>
      <c r="T652" s="81"/>
      <c r="U652" s="81"/>
      <c r="V652" s="81"/>
      <c r="W652" s="81"/>
      <c r="X652" s="81"/>
      <c r="Y652" s="81"/>
      <c r="Z652" s="81"/>
      <c r="AA652" s="81"/>
      <c r="AB652" s="81"/>
      <c r="AC652" s="81"/>
      <c r="AD652" s="81"/>
      <c r="AE652" s="81"/>
      <c r="AF652" s="81"/>
    </row>
    <row r="653" spans="1:32">
      <c r="A653" s="76" t="s">
        <v>1387</v>
      </c>
      <c r="B653" s="79">
        <f>B657*2*0.3</f>
        <v>25470</v>
      </c>
      <c r="C653" s="79">
        <f t="shared" ref="C653:I653" si="1083">C657*2*0.3</f>
        <v>29100</v>
      </c>
      <c r="D653" s="79">
        <f t="shared" si="1083"/>
        <v>32730</v>
      </c>
      <c r="E653" s="79">
        <f t="shared" si="1083"/>
        <v>36360</v>
      </c>
      <c r="F653" s="79">
        <f t="shared" si="1083"/>
        <v>39270</v>
      </c>
      <c r="G653" s="79">
        <f t="shared" si="1083"/>
        <v>42180</v>
      </c>
      <c r="H653" s="79">
        <f t="shared" si="1083"/>
        <v>45090</v>
      </c>
      <c r="I653" s="79">
        <f t="shared" si="1083"/>
        <v>48000</v>
      </c>
      <c r="J653" s="80">
        <f t="shared" si="1073"/>
        <v>636</v>
      </c>
      <c r="K653" s="80">
        <f t="shared" si="1074"/>
        <v>682</v>
      </c>
      <c r="L653" s="80">
        <f t="shared" si="1075"/>
        <v>818</v>
      </c>
      <c r="M653" s="80">
        <f t="shared" si="1076"/>
        <v>945</v>
      </c>
      <c r="N653" s="80">
        <f t="shared" si="1077"/>
        <v>1054</v>
      </c>
      <c r="O653" s="80">
        <f t="shared" si="1078"/>
        <v>1163</v>
      </c>
      <c r="P653" s="81"/>
      <c r="Q653" s="81"/>
      <c r="R653" s="81"/>
      <c r="S653" s="81"/>
      <c r="T653" s="81"/>
      <c r="U653" s="81"/>
      <c r="V653" s="81"/>
      <c r="W653" s="81"/>
      <c r="X653" s="81"/>
      <c r="Y653" s="81"/>
      <c r="Z653" s="81"/>
      <c r="AA653" s="81"/>
      <c r="AB653" s="81"/>
      <c r="AC653" s="81"/>
      <c r="AD653" s="81"/>
      <c r="AE653" s="81"/>
      <c r="AF653" s="81"/>
    </row>
    <row r="654" spans="1:32">
      <c r="A654" s="76" t="s">
        <v>1388</v>
      </c>
      <c r="B654" s="79">
        <f>B657*2*0.35</f>
        <v>29714.999999999996</v>
      </c>
      <c r="C654" s="79">
        <f t="shared" ref="C654:I654" si="1084">C657*2*0.35</f>
        <v>33950</v>
      </c>
      <c r="D654" s="79">
        <f t="shared" si="1084"/>
        <v>38185</v>
      </c>
      <c r="E654" s="79">
        <f t="shared" si="1084"/>
        <v>42420</v>
      </c>
      <c r="F654" s="79">
        <f t="shared" si="1084"/>
        <v>45815</v>
      </c>
      <c r="G654" s="79">
        <f t="shared" si="1084"/>
        <v>49210</v>
      </c>
      <c r="H654" s="79">
        <f t="shared" si="1084"/>
        <v>52605</v>
      </c>
      <c r="I654" s="79">
        <f t="shared" si="1084"/>
        <v>56000</v>
      </c>
      <c r="J654" s="80">
        <f t="shared" si="1073"/>
        <v>742</v>
      </c>
      <c r="K654" s="80">
        <f t="shared" si="1074"/>
        <v>795</v>
      </c>
      <c r="L654" s="80">
        <f t="shared" si="1075"/>
        <v>954</v>
      </c>
      <c r="M654" s="80">
        <f t="shared" si="1076"/>
        <v>1102</v>
      </c>
      <c r="N654" s="80">
        <f t="shared" si="1077"/>
        <v>1230</v>
      </c>
      <c r="O654" s="80">
        <f t="shared" si="1078"/>
        <v>1357</v>
      </c>
      <c r="P654" s="81"/>
      <c r="Q654" s="81"/>
      <c r="R654" s="81"/>
      <c r="S654" s="81"/>
      <c r="T654" s="81"/>
      <c r="U654" s="81"/>
      <c r="V654" s="81"/>
      <c r="W654" s="81"/>
      <c r="X654" s="81"/>
      <c r="Y654" s="81"/>
      <c r="Z654" s="81"/>
      <c r="AA654" s="81"/>
      <c r="AB654" s="81"/>
      <c r="AC654" s="81"/>
      <c r="AD654" s="81"/>
      <c r="AE654" s="81"/>
      <c r="AF654" s="81"/>
    </row>
    <row r="655" spans="1:32">
      <c r="A655" s="76" t="s">
        <v>1389</v>
      </c>
      <c r="B655" s="79">
        <f>B657*2*0.4</f>
        <v>33960</v>
      </c>
      <c r="C655" s="79">
        <f t="shared" ref="C655:I655" si="1085">C657*2*0.4</f>
        <v>38800</v>
      </c>
      <c r="D655" s="79">
        <f t="shared" si="1085"/>
        <v>43640</v>
      </c>
      <c r="E655" s="79">
        <f t="shared" si="1085"/>
        <v>48480</v>
      </c>
      <c r="F655" s="79">
        <f t="shared" si="1085"/>
        <v>52360</v>
      </c>
      <c r="G655" s="79">
        <f t="shared" si="1085"/>
        <v>56240</v>
      </c>
      <c r="H655" s="79">
        <f t="shared" si="1085"/>
        <v>60120</v>
      </c>
      <c r="I655" s="79">
        <f t="shared" si="1085"/>
        <v>64000</v>
      </c>
      <c r="J655" s="80">
        <f t="shared" si="1073"/>
        <v>849</v>
      </c>
      <c r="K655" s="80">
        <f t="shared" si="1074"/>
        <v>909</v>
      </c>
      <c r="L655" s="80">
        <f t="shared" si="1075"/>
        <v>1091</v>
      </c>
      <c r="M655" s="80">
        <f t="shared" si="1076"/>
        <v>1260</v>
      </c>
      <c r="N655" s="80">
        <f t="shared" si="1077"/>
        <v>1406</v>
      </c>
      <c r="O655" s="80">
        <f t="shared" si="1078"/>
        <v>1551</v>
      </c>
      <c r="P655" s="81"/>
      <c r="Q655" s="81"/>
      <c r="R655" s="81"/>
      <c r="S655" s="81"/>
      <c r="T655" s="81"/>
      <c r="U655" s="81"/>
      <c r="V655" s="81"/>
      <c r="W655" s="81"/>
      <c r="X655" s="81"/>
      <c r="Y655" s="81"/>
      <c r="Z655" s="81"/>
      <c r="AA655" s="81"/>
      <c r="AB655" s="81"/>
      <c r="AC655" s="81"/>
      <c r="AD655" s="81"/>
      <c r="AE655" s="81"/>
      <c r="AF655" s="81"/>
    </row>
    <row r="656" spans="1:32">
      <c r="A656" s="76" t="s">
        <v>1390</v>
      </c>
      <c r="B656" s="79">
        <f>B657*2*0.45</f>
        <v>38205</v>
      </c>
      <c r="C656" s="79">
        <f t="shared" ref="C656:I656" si="1086">C657*2*0.45</f>
        <v>43650</v>
      </c>
      <c r="D656" s="79">
        <f t="shared" si="1086"/>
        <v>49095</v>
      </c>
      <c r="E656" s="79">
        <f t="shared" si="1086"/>
        <v>54540</v>
      </c>
      <c r="F656" s="79">
        <f t="shared" si="1086"/>
        <v>58905</v>
      </c>
      <c r="G656" s="79">
        <f t="shared" si="1086"/>
        <v>63270</v>
      </c>
      <c r="H656" s="79">
        <f t="shared" si="1086"/>
        <v>67635</v>
      </c>
      <c r="I656" s="79">
        <f t="shared" si="1086"/>
        <v>72000</v>
      </c>
      <c r="J656" s="80">
        <f t="shared" si="1073"/>
        <v>955</v>
      </c>
      <c r="K656" s="80">
        <f t="shared" si="1074"/>
        <v>1023</v>
      </c>
      <c r="L656" s="80">
        <f t="shared" si="1075"/>
        <v>1227</v>
      </c>
      <c r="M656" s="80">
        <f t="shared" si="1076"/>
        <v>1418</v>
      </c>
      <c r="N656" s="80">
        <f t="shared" si="1077"/>
        <v>1581</v>
      </c>
      <c r="O656" s="80">
        <f t="shared" si="1078"/>
        <v>1745</v>
      </c>
      <c r="P656" s="81"/>
      <c r="Q656" s="81"/>
      <c r="R656" s="81"/>
      <c r="S656" s="81"/>
      <c r="T656" s="81"/>
      <c r="U656" s="81"/>
      <c r="V656" s="81"/>
      <c r="W656" s="81"/>
      <c r="X656" s="81"/>
      <c r="Y656" s="81"/>
      <c r="Z656" s="81"/>
      <c r="AA656" s="81"/>
      <c r="AB656" s="81"/>
      <c r="AC656" s="81"/>
      <c r="AD656" s="81"/>
      <c r="AE656" s="81"/>
      <c r="AF656" s="81"/>
    </row>
    <row r="657" spans="1:32">
      <c r="A657" s="82" t="s">
        <v>1391</v>
      </c>
      <c r="B657" s="84">
        <f>'MTSP 50% Income Limits '!B38</f>
        <v>42450</v>
      </c>
      <c r="C657" s="84">
        <f>'MTSP 50% Income Limits '!C38</f>
        <v>48500</v>
      </c>
      <c r="D657" s="84">
        <f>'MTSP 50% Income Limits '!D38</f>
        <v>54550</v>
      </c>
      <c r="E657" s="84">
        <f>'MTSP 50% Income Limits '!E38</f>
        <v>60600</v>
      </c>
      <c r="F657" s="84">
        <f>'MTSP 50% Income Limits '!F38</f>
        <v>65450</v>
      </c>
      <c r="G657" s="84">
        <f>'MTSP 50% Income Limits '!G38</f>
        <v>70300</v>
      </c>
      <c r="H657" s="84">
        <f>'MTSP 50% Income Limits '!H38</f>
        <v>75150</v>
      </c>
      <c r="I657" s="84">
        <f>'MTSP 50% Income Limits '!I38</f>
        <v>80000</v>
      </c>
      <c r="J657" s="83">
        <f>TRUNC(B657/12*0.3)</f>
        <v>1061</v>
      </c>
      <c r="K657" s="83">
        <f>TRUNC((B657+C657)/2/12*0.3)</f>
        <v>1136</v>
      </c>
      <c r="L657" s="83">
        <f>TRUNC((D657)/12*0.3)</f>
        <v>1363</v>
      </c>
      <c r="M657" s="83">
        <f>TRUNC(((E657+F657)/2)/12*0.3)</f>
        <v>1575</v>
      </c>
      <c r="N657" s="83">
        <f>TRUNC(G657/12*0.3)</f>
        <v>1757</v>
      </c>
      <c r="O657" s="83">
        <f>TRUNC(((H657+I657)/2)/12*0.3)</f>
        <v>1939</v>
      </c>
      <c r="P657" s="81"/>
      <c r="Q657" s="81"/>
      <c r="R657" s="81"/>
      <c r="S657" s="81"/>
      <c r="T657" s="81"/>
      <c r="U657" s="81"/>
      <c r="V657" s="81"/>
      <c r="W657" s="81"/>
      <c r="X657" s="81"/>
      <c r="Y657" s="81"/>
      <c r="Z657" s="81"/>
      <c r="AA657" s="81"/>
      <c r="AB657" s="81"/>
      <c r="AC657" s="81"/>
      <c r="AD657" s="81"/>
      <c r="AE657" s="81"/>
      <c r="AF657" s="81"/>
    </row>
    <row r="658" spans="1:32">
      <c r="A658" s="76" t="s">
        <v>1392</v>
      </c>
      <c r="B658" s="79">
        <f>B657*2*0.55</f>
        <v>46695.000000000007</v>
      </c>
      <c r="C658" s="79">
        <f t="shared" ref="C658:I658" si="1087">C657*2*0.55</f>
        <v>53350.000000000007</v>
      </c>
      <c r="D658" s="79">
        <f t="shared" si="1087"/>
        <v>60005.000000000007</v>
      </c>
      <c r="E658" s="79">
        <f t="shared" si="1087"/>
        <v>66660</v>
      </c>
      <c r="F658" s="79">
        <f t="shared" si="1087"/>
        <v>71995</v>
      </c>
      <c r="G658" s="79">
        <f t="shared" si="1087"/>
        <v>77330</v>
      </c>
      <c r="H658" s="79">
        <f t="shared" si="1087"/>
        <v>82665</v>
      </c>
      <c r="I658" s="79">
        <f t="shared" si="1087"/>
        <v>88000</v>
      </c>
      <c r="J658" s="80">
        <f t="shared" ref="J658:J664" si="1088">TRUNC(B658/12*0.3)</f>
        <v>1167</v>
      </c>
      <c r="K658" s="80">
        <f t="shared" ref="K658:K664" si="1089">TRUNC((B658+C658)/2/12*0.3)</f>
        <v>1250</v>
      </c>
      <c r="L658" s="80">
        <f t="shared" ref="L658:L664" si="1090">TRUNC((D658)/12*0.3)</f>
        <v>1500</v>
      </c>
      <c r="M658" s="80">
        <f t="shared" ref="M658:M664" si="1091">TRUNC(((E658+F658)/2)/12*0.3)</f>
        <v>1733</v>
      </c>
      <c r="N658" s="80">
        <f t="shared" ref="N658:N664" si="1092">TRUNC(G658/12*0.3)</f>
        <v>1933</v>
      </c>
      <c r="O658" s="80">
        <f t="shared" ref="O658:O664" si="1093">TRUNC(((H658+I658)/2)/12*0.3)</f>
        <v>2133</v>
      </c>
      <c r="P658" s="81"/>
      <c r="Q658" s="81"/>
      <c r="R658" s="81"/>
      <c r="S658" s="81"/>
      <c r="T658" s="81"/>
      <c r="U658" s="81"/>
      <c r="V658" s="81"/>
      <c r="W658" s="81"/>
      <c r="X658" s="81"/>
      <c r="Y658" s="81"/>
      <c r="Z658" s="81"/>
      <c r="AA658" s="81"/>
      <c r="AB658" s="81"/>
      <c r="AC658" s="81"/>
      <c r="AD658" s="81"/>
      <c r="AE658" s="81"/>
      <c r="AF658" s="81"/>
    </row>
    <row r="659" spans="1:32">
      <c r="A659" s="76" t="s">
        <v>1393</v>
      </c>
      <c r="B659" s="79">
        <f>B657*2*0.6</f>
        <v>50940</v>
      </c>
      <c r="C659" s="79">
        <f t="shared" ref="C659:I659" si="1094">C657*2*0.6</f>
        <v>58200</v>
      </c>
      <c r="D659" s="79">
        <f t="shared" si="1094"/>
        <v>65460</v>
      </c>
      <c r="E659" s="79">
        <f t="shared" si="1094"/>
        <v>72720</v>
      </c>
      <c r="F659" s="79">
        <f t="shared" si="1094"/>
        <v>78540</v>
      </c>
      <c r="G659" s="79">
        <f t="shared" si="1094"/>
        <v>84360</v>
      </c>
      <c r="H659" s="79">
        <f t="shared" si="1094"/>
        <v>90180</v>
      </c>
      <c r="I659" s="79">
        <f t="shared" si="1094"/>
        <v>96000</v>
      </c>
      <c r="J659" s="80">
        <f t="shared" si="1088"/>
        <v>1273</v>
      </c>
      <c r="K659" s="80">
        <f t="shared" si="1089"/>
        <v>1364</v>
      </c>
      <c r="L659" s="80">
        <f t="shared" si="1090"/>
        <v>1636</v>
      </c>
      <c r="M659" s="80">
        <f t="shared" si="1091"/>
        <v>1890</v>
      </c>
      <c r="N659" s="80">
        <f t="shared" si="1092"/>
        <v>2109</v>
      </c>
      <c r="O659" s="80">
        <f t="shared" si="1093"/>
        <v>2327</v>
      </c>
      <c r="P659" s="81"/>
      <c r="Q659" s="81"/>
      <c r="R659" s="81"/>
      <c r="S659" s="81"/>
      <c r="T659" s="81"/>
      <c r="U659" s="81"/>
      <c r="V659" s="81"/>
      <c r="W659" s="81"/>
      <c r="X659" s="81"/>
      <c r="Y659" s="81"/>
      <c r="Z659" s="81"/>
      <c r="AA659" s="81"/>
      <c r="AB659" s="81"/>
      <c r="AC659" s="81"/>
      <c r="AD659" s="81"/>
      <c r="AE659" s="81"/>
      <c r="AF659" s="81"/>
    </row>
    <row r="660" spans="1:32">
      <c r="A660" s="76" t="s">
        <v>1394</v>
      </c>
      <c r="B660" s="79">
        <f>B657*2*0.65</f>
        <v>55185</v>
      </c>
      <c r="C660" s="79">
        <f t="shared" ref="C660:I660" si="1095">C657*2*0.65</f>
        <v>63050</v>
      </c>
      <c r="D660" s="79">
        <f t="shared" si="1095"/>
        <v>70915</v>
      </c>
      <c r="E660" s="79">
        <f t="shared" si="1095"/>
        <v>78780</v>
      </c>
      <c r="F660" s="79">
        <f t="shared" si="1095"/>
        <v>85085</v>
      </c>
      <c r="G660" s="79">
        <f t="shared" si="1095"/>
        <v>91390</v>
      </c>
      <c r="H660" s="79">
        <f t="shared" si="1095"/>
        <v>97695</v>
      </c>
      <c r="I660" s="79">
        <f t="shared" si="1095"/>
        <v>104000</v>
      </c>
      <c r="J660" s="80">
        <f t="shared" si="1088"/>
        <v>1379</v>
      </c>
      <c r="K660" s="80">
        <f t="shared" si="1089"/>
        <v>1477</v>
      </c>
      <c r="L660" s="80">
        <f t="shared" si="1090"/>
        <v>1772</v>
      </c>
      <c r="M660" s="80">
        <f t="shared" si="1091"/>
        <v>2048</v>
      </c>
      <c r="N660" s="80">
        <f t="shared" si="1092"/>
        <v>2284</v>
      </c>
      <c r="O660" s="80">
        <f t="shared" si="1093"/>
        <v>2521</v>
      </c>
      <c r="P660" s="81"/>
      <c r="Q660" s="81"/>
      <c r="R660" s="81"/>
      <c r="S660" s="81"/>
      <c r="T660" s="81"/>
      <c r="U660" s="81"/>
      <c r="V660" s="81"/>
      <c r="W660" s="81"/>
      <c r="X660" s="81"/>
      <c r="Y660" s="81"/>
      <c r="Z660" s="81"/>
      <c r="AA660" s="81"/>
      <c r="AB660" s="81"/>
      <c r="AC660" s="81"/>
      <c r="AD660" s="81"/>
      <c r="AE660" s="81"/>
      <c r="AF660" s="81"/>
    </row>
    <row r="661" spans="1:32">
      <c r="A661" s="76" t="s">
        <v>1395</v>
      </c>
      <c r="B661" s="79">
        <f>B657*2*0.7</f>
        <v>59429.999999999993</v>
      </c>
      <c r="C661" s="79">
        <f t="shared" ref="C661:I661" si="1096">C657*2*0.7</f>
        <v>67900</v>
      </c>
      <c r="D661" s="79">
        <f t="shared" si="1096"/>
        <v>76370</v>
      </c>
      <c r="E661" s="79">
        <f t="shared" si="1096"/>
        <v>84840</v>
      </c>
      <c r="F661" s="79">
        <f t="shared" si="1096"/>
        <v>91630</v>
      </c>
      <c r="G661" s="79">
        <f t="shared" si="1096"/>
        <v>98420</v>
      </c>
      <c r="H661" s="79">
        <f t="shared" si="1096"/>
        <v>105210</v>
      </c>
      <c r="I661" s="79">
        <f t="shared" si="1096"/>
        <v>112000</v>
      </c>
      <c r="J661" s="80">
        <f t="shared" si="1088"/>
        <v>1485</v>
      </c>
      <c r="K661" s="80">
        <f t="shared" si="1089"/>
        <v>1591</v>
      </c>
      <c r="L661" s="80">
        <f t="shared" si="1090"/>
        <v>1909</v>
      </c>
      <c r="M661" s="80">
        <f t="shared" si="1091"/>
        <v>2205</v>
      </c>
      <c r="N661" s="80">
        <f t="shared" si="1092"/>
        <v>2460</v>
      </c>
      <c r="O661" s="80">
        <f t="shared" si="1093"/>
        <v>2715</v>
      </c>
      <c r="P661" s="81"/>
      <c r="Q661" s="81"/>
      <c r="R661" s="81"/>
      <c r="S661" s="81"/>
      <c r="T661" s="81"/>
      <c r="U661" s="81"/>
      <c r="V661" s="81"/>
      <c r="W661" s="81"/>
      <c r="X661" s="81"/>
      <c r="Y661" s="81"/>
      <c r="Z661" s="81"/>
      <c r="AA661" s="81"/>
      <c r="AB661" s="81"/>
      <c r="AC661" s="81"/>
      <c r="AD661" s="81"/>
      <c r="AE661" s="81"/>
      <c r="AF661" s="81"/>
    </row>
    <row r="662" spans="1:32">
      <c r="A662" s="76" t="s">
        <v>1396</v>
      </c>
      <c r="B662" s="79">
        <f>B657*2*0.75</f>
        <v>63675</v>
      </c>
      <c r="C662" s="79">
        <f t="shared" ref="C662:I662" si="1097">C657*2*0.75</f>
        <v>72750</v>
      </c>
      <c r="D662" s="79">
        <f t="shared" si="1097"/>
        <v>81825</v>
      </c>
      <c r="E662" s="79">
        <f t="shared" si="1097"/>
        <v>90900</v>
      </c>
      <c r="F662" s="79">
        <f t="shared" si="1097"/>
        <v>98175</v>
      </c>
      <c r="G662" s="79">
        <f t="shared" si="1097"/>
        <v>105450</v>
      </c>
      <c r="H662" s="79">
        <f t="shared" si="1097"/>
        <v>112725</v>
      </c>
      <c r="I662" s="79">
        <f t="shared" si="1097"/>
        <v>120000</v>
      </c>
      <c r="J662" s="80">
        <f t="shared" si="1088"/>
        <v>1591</v>
      </c>
      <c r="K662" s="80">
        <f t="shared" si="1089"/>
        <v>1705</v>
      </c>
      <c r="L662" s="80">
        <f t="shared" si="1090"/>
        <v>2045</v>
      </c>
      <c r="M662" s="80">
        <f t="shared" si="1091"/>
        <v>2363</v>
      </c>
      <c r="N662" s="80">
        <f t="shared" si="1092"/>
        <v>2636</v>
      </c>
      <c r="O662" s="80">
        <f t="shared" si="1093"/>
        <v>2909</v>
      </c>
      <c r="P662" s="81"/>
      <c r="Q662" s="81"/>
      <c r="R662" s="81"/>
      <c r="S662" s="81"/>
      <c r="T662" s="81"/>
      <c r="U662" s="81"/>
      <c r="V662" s="81"/>
      <c r="W662" s="81"/>
      <c r="X662" s="81"/>
      <c r="Y662" s="81"/>
      <c r="Z662" s="81"/>
      <c r="AA662" s="81"/>
      <c r="AB662" s="81"/>
      <c r="AC662" s="81"/>
      <c r="AD662" s="81"/>
      <c r="AE662" s="81"/>
      <c r="AF662" s="81"/>
    </row>
    <row r="663" spans="1:32">
      <c r="A663" s="76" t="s">
        <v>1397</v>
      </c>
      <c r="B663" s="79">
        <f>B657*2*0.8</f>
        <v>67920</v>
      </c>
      <c r="C663" s="79">
        <f t="shared" ref="C663:I663" si="1098">C657*2*0.8</f>
        <v>77600</v>
      </c>
      <c r="D663" s="79">
        <f t="shared" si="1098"/>
        <v>87280</v>
      </c>
      <c r="E663" s="79">
        <f t="shared" si="1098"/>
        <v>96960</v>
      </c>
      <c r="F663" s="79">
        <f t="shared" si="1098"/>
        <v>104720</v>
      </c>
      <c r="G663" s="79">
        <f t="shared" si="1098"/>
        <v>112480</v>
      </c>
      <c r="H663" s="79">
        <f t="shared" si="1098"/>
        <v>120240</v>
      </c>
      <c r="I663" s="79">
        <f t="shared" si="1098"/>
        <v>128000</v>
      </c>
      <c r="J663" s="80">
        <f t="shared" si="1088"/>
        <v>1698</v>
      </c>
      <c r="K663" s="80">
        <f t="shared" si="1089"/>
        <v>1819</v>
      </c>
      <c r="L663" s="80">
        <f t="shared" si="1090"/>
        <v>2182</v>
      </c>
      <c r="M663" s="80">
        <f t="shared" si="1091"/>
        <v>2521</v>
      </c>
      <c r="N663" s="80">
        <f t="shared" si="1092"/>
        <v>2812</v>
      </c>
      <c r="O663" s="80">
        <f t="shared" si="1093"/>
        <v>3103</v>
      </c>
      <c r="P663" s="81"/>
      <c r="Q663" s="81"/>
      <c r="R663" s="81"/>
      <c r="S663" s="81"/>
      <c r="T663" s="81"/>
      <c r="U663" s="81"/>
      <c r="V663" s="81"/>
      <c r="W663" s="81"/>
      <c r="X663" s="81"/>
      <c r="Y663" s="81"/>
      <c r="Z663" s="81"/>
      <c r="AA663" s="81"/>
      <c r="AB663" s="81"/>
      <c r="AC663" s="81"/>
      <c r="AD663" s="81"/>
      <c r="AE663" s="81"/>
      <c r="AF663" s="81"/>
    </row>
    <row r="664" spans="1:32">
      <c r="A664" s="76" t="s">
        <v>1398</v>
      </c>
      <c r="B664" s="79">
        <f>B657*2*0.9</f>
        <v>76410</v>
      </c>
      <c r="C664" s="79">
        <f t="shared" ref="C664:I664" si="1099">C657*2*0.9</f>
        <v>87300</v>
      </c>
      <c r="D664" s="79">
        <f t="shared" si="1099"/>
        <v>98190</v>
      </c>
      <c r="E664" s="79">
        <f t="shared" si="1099"/>
        <v>109080</v>
      </c>
      <c r="F664" s="79">
        <f t="shared" si="1099"/>
        <v>117810</v>
      </c>
      <c r="G664" s="79">
        <f t="shared" si="1099"/>
        <v>126540</v>
      </c>
      <c r="H664" s="79">
        <f t="shared" si="1099"/>
        <v>135270</v>
      </c>
      <c r="I664" s="79">
        <f t="shared" si="1099"/>
        <v>144000</v>
      </c>
      <c r="J664" s="80">
        <f t="shared" si="1088"/>
        <v>1910</v>
      </c>
      <c r="K664" s="80">
        <f t="shared" si="1089"/>
        <v>2046</v>
      </c>
      <c r="L664" s="80">
        <f t="shared" si="1090"/>
        <v>2454</v>
      </c>
      <c r="M664" s="80">
        <f t="shared" si="1091"/>
        <v>2836</v>
      </c>
      <c r="N664" s="80">
        <f t="shared" si="1092"/>
        <v>3163</v>
      </c>
      <c r="O664" s="80">
        <f t="shared" si="1093"/>
        <v>3490</v>
      </c>
      <c r="P664" s="81"/>
      <c r="Q664" s="81"/>
      <c r="R664" s="81"/>
      <c r="S664" s="81"/>
      <c r="T664" s="81"/>
      <c r="U664" s="81"/>
      <c r="V664" s="81"/>
      <c r="W664" s="81"/>
      <c r="X664" s="81"/>
      <c r="Y664" s="81"/>
      <c r="Z664" s="81"/>
      <c r="AA664" s="81"/>
      <c r="AB664" s="81"/>
      <c r="AC664" s="81"/>
      <c r="AD664" s="81"/>
      <c r="AE664" s="81"/>
      <c r="AF664" s="81"/>
    </row>
    <row r="665" spans="1:32">
      <c r="A665" s="76" t="s">
        <v>1399</v>
      </c>
      <c r="B665" s="79">
        <f>B657*2</f>
        <v>84900</v>
      </c>
      <c r="C665" s="79">
        <f t="shared" ref="C665:I665" si="1100">C657*2</f>
        <v>97000</v>
      </c>
      <c r="D665" s="79">
        <f t="shared" si="1100"/>
        <v>109100</v>
      </c>
      <c r="E665" s="79">
        <f t="shared" si="1100"/>
        <v>121200</v>
      </c>
      <c r="F665" s="79">
        <f t="shared" si="1100"/>
        <v>130900</v>
      </c>
      <c r="G665" s="79">
        <f t="shared" si="1100"/>
        <v>140600</v>
      </c>
      <c r="H665" s="79">
        <f t="shared" si="1100"/>
        <v>150300</v>
      </c>
      <c r="I665" s="79">
        <f t="shared" si="1100"/>
        <v>160000</v>
      </c>
      <c r="J665" s="80">
        <f>J657*2</f>
        <v>2122</v>
      </c>
      <c r="K665" s="80">
        <f t="shared" ref="K665:O665" si="1101">K657*2</f>
        <v>2272</v>
      </c>
      <c r="L665" s="80">
        <f t="shared" si="1101"/>
        <v>2726</v>
      </c>
      <c r="M665" s="80">
        <f t="shared" si="1101"/>
        <v>3150</v>
      </c>
      <c r="N665" s="80">
        <f t="shared" si="1101"/>
        <v>3514</v>
      </c>
      <c r="O665" s="80">
        <f t="shared" si="1101"/>
        <v>3878</v>
      </c>
      <c r="P665" s="81"/>
      <c r="Q665" s="81"/>
      <c r="R665" s="81"/>
      <c r="S665" s="81"/>
      <c r="T665" s="81"/>
      <c r="U665" s="81"/>
      <c r="V665" s="81"/>
      <c r="W665" s="81"/>
      <c r="X665" s="81"/>
      <c r="Y665" s="81"/>
      <c r="Z665" s="81"/>
      <c r="AA665" s="81"/>
      <c r="AB665" s="81"/>
      <c r="AC665" s="81"/>
      <c r="AD665" s="81"/>
      <c r="AE665" s="81"/>
      <c r="AF665" s="81"/>
    </row>
    <row r="666" spans="1:32">
      <c r="A666" s="76" t="s">
        <v>1400</v>
      </c>
      <c r="B666" s="79">
        <f>B657*2*1.1</f>
        <v>93390.000000000015</v>
      </c>
      <c r="C666" s="79">
        <f t="shared" ref="C666:I666" si="1102">C657*2*1.1</f>
        <v>106700.00000000001</v>
      </c>
      <c r="D666" s="79">
        <f t="shared" si="1102"/>
        <v>120010.00000000001</v>
      </c>
      <c r="E666" s="79">
        <f t="shared" si="1102"/>
        <v>133320</v>
      </c>
      <c r="F666" s="79">
        <f t="shared" si="1102"/>
        <v>143990</v>
      </c>
      <c r="G666" s="79">
        <f t="shared" si="1102"/>
        <v>154660</v>
      </c>
      <c r="H666" s="79">
        <f t="shared" si="1102"/>
        <v>165330</v>
      </c>
      <c r="I666" s="79">
        <f t="shared" si="1102"/>
        <v>176000</v>
      </c>
      <c r="J666" s="80">
        <f t="shared" ref="J666:J674" si="1103">TRUNC(B666/12*0.3)</f>
        <v>2334</v>
      </c>
      <c r="K666" s="80">
        <f t="shared" ref="K666:K674" si="1104">TRUNC((B666+C666)/2/12*0.3)</f>
        <v>2501</v>
      </c>
      <c r="L666" s="80">
        <f t="shared" ref="L666:L674" si="1105">TRUNC((D666)/12*0.3)</f>
        <v>3000</v>
      </c>
      <c r="M666" s="80">
        <f t="shared" ref="M666:M674" si="1106">TRUNC(((E666+F666)/2)/12*0.3)</f>
        <v>3466</v>
      </c>
      <c r="N666" s="80">
        <f t="shared" ref="N666:N674" si="1107">TRUNC(G666/12*0.3)</f>
        <v>3866</v>
      </c>
      <c r="O666" s="80">
        <f t="shared" ref="O666:O674" si="1108">TRUNC(((H666+I666)/2)/12*0.3)</f>
        <v>4266</v>
      </c>
      <c r="P666" s="81"/>
      <c r="Q666" s="81"/>
      <c r="R666" s="81"/>
      <c r="S666" s="81"/>
      <c r="T666" s="81"/>
      <c r="U666" s="81"/>
      <c r="V666" s="81"/>
      <c r="W666" s="81"/>
      <c r="X666" s="81"/>
      <c r="Y666" s="81"/>
      <c r="Z666" s="81"/>
      <c r="AA666" s="81"/>
      <c r="AB666" s="81"/>
      <c r="AC666" s="81"/>
      <c r="AD666" s="81"/>
      <c r="AE666" s="81"/>
      <c r="AF666" s="81"/>
    </row>
    <row r="667" spans="1:32">
      <c r="A667" s="76" t="s">
        <v>1401</v>
      </c>
      <c r="B667" s="79">
        <f>B657*2*1.2</f>
        <v>101880</v>
      </c>
      <c r="C667" s="79">
        <f t="shared" ref="C667:I667" si="1109">C657*2*1.2</f>
        <v>116400</v>
      </c>
      <c r="D667" s="79">
        <f t="shared" si="1109"/>
        <v>130920</v>
      </c>
      <c r="E667" s="79">
        <f t="shared" si="1109"/>
        <v>145440</v>
      </c>
      <c r="F667" s="79">
        <f t="shared" si="1109"/>
        <v>157080</v>
      </c>
      <c r="G667" s="79">
        <f t="shared" si="1109"/>
        <v>168720</v>
      </c>
      <c r="H667" s="79">
        <f t="shared" si="1109"/>
        <v>180360</v>
      </c>
      <c r="I667" s="79">
        <f t="shared" si="1109"/>
        <v>192000</v>
      </c>
      <c r="J667" s="80">
        <f t="shared" si="1103"/>
        <v>2547</v>
      </c>
      <c r="K667" s="80">
        <f t="shared" si="1104"/>
        <v>2728</v>
      </c>
      <c r="L667" s="80">
        <f t="shared" si="1105"/>
        <v>3273</v>
      </c>
      <c r="M667" s="80">
        <f t="shared" si="1106"/>
        <v>3781</v>
      </c>
      <c r="N667" s="80">
        <f t="shared" si="1107"/>
        <v>4218</v>
      </c>
      <c r="O667" s="80">
        <f t="shared" si="1108"/>
        <v>4654</v>
      </c>
      <c r="P667" s="81"/>
      <c r="Q667" s="81"/>
      <c r="R667" s="81"/>
      <c r="S667" s="81"/>
      <c r="T667" s="81"/>
      <c r="U667" s="81"/>
      <c r="V667" s="81"/>
      <c r="W667" s="81"/>
      <c r="X667" s="81"/>
      <c r="Y667" s="81"/>
      <c r="Z667" s="81"/>
      <c r="AA667" s="81"/>
      <c r="AB667" s="81"/>
      <c r="AC667" s="81"/>
      <c r="AD667" s="81"/>
      <c r="AE667" s="81"/>
      <c r="AF667" s="81"/>
    </row>
    <row r="668" spans="1:32">
      <c r="A668" s="76" t="s">
        <v>1402</v>
      </c>
      <c r="B668" s="79">
        <f>B675*2*0.15</f>
        <v>19185</v>
      </c>
      <c r="C668" s="79">
        <f>C675*2*0.15</f>
        <v>21930</v>
      </c>
      <c r="D668" s="79">
        <f>D675*2*0.15</f>
        <v>24675</v>
      </c>
      <c r="E668" s="79">
        <f>E675*2*0.15</f>
        <v>27405</v>
      </c>
      <c r="F668" s="79">
        <f>F675*2*0.15</f>
        <v>29610</v>
      </c>
      <c r="G668" s="79">
        <f t="shared" ref="G668:I668" si="1110">G675*2*0.15</f>
        <v>31800</v>
      </c>
      <c r="H668" s="79">
        <f t="shared" si="1110"/>
        <v>33990</v>
      </c>
      <c r="I668" s="79">
        <f t="shared" si="1110"/>
        <v>36180</v>
      </c>
      <c r="J668" s="80">
        <f t="shared" si="1103"/>
        <v>479</v>
      </c>
      <c r="K668" s="80">
        <f t="shared" si="1104"/>
        <v>513</v>
      </c>
      <c r="L668" s="80">
        <f t="shared" si="1105"/>
        <v>616</v>
      </c>
      <c r="M668" s="80">
        <f t="shared" si="1106"/>
        <v>712</v>
      </c>
      <c r="N668" s="80">
        <f t="shared" si="1107"/>
        <v>795</v>
      </c>
      <c r="O668" s="80">
        <f t="shared" si="1108"/>
        <v>877</v>
      </c>
      <c r="P668" s="81"/>
      <c r="Q668" s="81"/>
      <c r="R668" s="81"/>
      <c r="S668" s="81"/>
      <c r="T668" s="81"/>
      <c r="U668" s="81"/>
      <c r="V668" s="81"/>
      <c r="W668" s="81"/>
      <c r="X668" s="81"/>
      <c r="Y668" s="81"/>
      <c r="Z668" s="81"/>
      <c r="AA668" s="81"/>
      <c r="AB668" s="81"/>
      <c r="AC668" s="81"/>
      <c r="AD668" s="81"/>
      <c r="AE668" s="81"/>
      <c r="AF668" s="81"/>
    </row>
    <row r="669" spans="1:32">
      <c r="A669" s="76" t="s">
        <v>1403</v>
      </c>
      <c r="B669" s="79">
        <f>B675*2*0.2</f>
        <v>25580</v>
      </c>
      <c r="C669" s="79">
        <f t="shared" ref="C669:I669" si="1111">C675*2*0.2</f>
        <v>29240</v>
      </c>
      <c r="D669" s="79">
        <f t="shared" si="1111"/>
        <v>32900</v>
      </c>
      <c r="E669" s="79">
        <f t="shared" si="1111"/>
        <v>36540</v>
      </c>
      <c r="F669" s="79">
        <f t="shared" si="1111"/>
        <v>39480</v>
      </c>
      <c r="G669" s="79">
        <f t="shared" si="1111"/>
        <v>42400</v>
      </c>
      <c r="H669" s="79">
        <f t="shared" si="1111"/>
        <v>45320</v>
      </c>
      <c r="I669" s="79">
        <f t="shared" si="1111"/>
        <v>48240</v>
      </c>
      <c r="J669" s="80">
        <f t="shared" si="1103"/>
        <v>639</v>
      </c>
      <c r="K669" s="80">
        <f t="shared" si="1104"/>
        <v>685</v>
      </c>
      <c r="L669" s="80">
        <f t="shared" si="1105"/>
        <v>822</v>
      </c>
      <c r="M669" s="80">
        <f t="shared" si="1106"/>
        <v>950</v>
      </c>
      <c r="N669" s="80">
        <f t="shared" si="1107"/>
        <v>1060</v>
      </c>
      <c r="O669" s="80">
        <f t="shared" si="1108"/>
        <v>1169</v>
      </c>
      <c r="P669" s="81"/>
      <c r="Q669" s="81"/>
      <c r="R669" s="81"/>
      <c r="S669" s="81"/>
      <c r="T669" s="81"/>
      <c r="U669" s="81"/>
      <c r="V669" s="81"/>
      <c r="W669" s="81"/>
      <c r="X669" s="81"/>
      <c r="Y669" s="81"/>
      <c r="Z669" s="81"/>
      <c r="AA669" s="81"/>
      <c r="AB669" s="81"/>
      <c r="AC669" s="81"/>
      <c r="AD669" s="81"/>
      <c r="AE669" s="81"/>
      <c r="AF669" s="81"/>
    </row>
    <row r="670" spans="1:32">
      <c r="A670" s="76" t="s">
        <v>1404</v>
      </c>
      <c r="B670" s="79">
        <f>B675*2*0.25</f>
        <v>31975</v>
      </c>
      <c r="C670" s="79">
        <f t="shared" ref="C670:I670" si="1112">C675*2*0.25</f>
        <v>36550</v>
      </c>
      <c r="D670" s="79">
        <f t="shared" si="1112"/>
        <v>41125</v>
      </c>
      <c r="E670" s="79">
        <f t="shared" si="1112"/>
        <v>45675</v>
      </c>
      <c r="F670" s="79">
        <f t="shared" si="1112"/>
        <v>49350</v>
      </c>
      <c r="G670" s="79">
        <f t="shared" si="1112"/>
        <v>53000</v>
      </c>
      <c r="H670" s="79">
        <f t="shared" si="1112"/>
        <v>56650</v>
      </c>
      <c r="I670" s="79">
        <f t="shared" si="1112"/>
        <v>60300</v>
      </c>
      <c r="J670" s="80">
        <f t="shared" si="1103"/>
        <v>799</v>
      </c>
      <c r="K670" s="80">
        <f t="shared" si="1104"/>
        <v>856</v>
      </c>
      <c r="L670" s="80">
        <f t="shared" si="1105"/>
        <v>1028</v>
      </c>
      <c r="M670" s="80">
        <f t="shared" si="1106"/>
        <v>1187</v>
      </c>
      <c r="N670" s="80">
        <f t="shared" si="1107"/>
        <v>1325</v>
      </c>
      <c r="O670" s="80">
        <f t="shared" si="1108"/>
        <v>1461</v>
      </c>
      <c r="P670" s="81"/>
      <c r="Q670" s="81"/>
      <c r="R670" s="81"/>
      <c r="S670" s="81"/>
      <c r="T670" s="81"/>
      <c r="U670" s="81"/>
      <c r="V670" s="81"/>
      <c r="W670" s="81"/>
      <c r="X670" s="81"/>
      <c r="Y670" s="81"/>
      <c r="Z670" s="81"/>
      <c r="AA670" s="81"/>
      <c r="AB670" s="81"/>
      <c r="AC670" s="81"/>
      <c r="AD670" s="81"/>
      <c r="AE670" s="81"/>
      <c r="AF670" s="81"/>
    </row>
    <row r="671" spans="1:32">
      <c r="A671" s="76" t="s">
        <v>1405</v>
      </c>
      <c r="B671" s="79">
        <f>B675*2*0.3</f>
        <v>38370</v>
      </c>
      <c r="C671" s="79">
        <f t="shared" ref="C671:I671" si="1113">C675*2*0.3</f>
        <v>43860</v>
      </c>
      <c r="D671" s="79">
        <f t="shared" si="1113"/>
        <v>49350</v>
      </c>
      <c r="E671" s="79">
        <f t="shared" si="1113"/>
        <v>54810</v>
      </c>
      <c r="F671" s="79">
        <f t="shared" si="1113"/>
        <v>59220</v>
      </c>
      <c r="G671" s="79">
        <f t="shared" si="1113"/>
        <v>63600</v>
      </c>
      <c r="H671" s="79">
        <f t="shared" si="1113"/>
        <v>67980</v>
      </c>
      <c r="I671" s="79">
        <f t="shared" si="1113"/>
        <v>72360</v>
      </c>
      <c r="J671" s="80">
        <f t="shared" si="1103"/>
        <v>959</v>
      </c>
      <c r="K671" s="80">
        <f t="shared" si="1104"/>
        <v>1027</v>
      </c>
      <c r="L671" s="80">
        <f t="shared" si="1105"/>
        <v>1233</v>
      </c>
      <c r="M671" s="80">
        <f t="shared" si="1106"/>
        <v>1425</v>
      </c>
      <c r="N671" s="80">
        <f t="shared" si="1107"/>
        <v>1590</v>
      </c>
      <c r="O671" s="80">
        <f t="shared" si="1108"/>
        <v>1754</v>
      </c>
      <c r="P671" s="81"/>
      <c r="Q671" s="81"/>
      <c r="R671" s="81"/>
      <c r="S671" s="81"/>
      <c r="T671" s="81"/>
      <c r="U671" s="81"/>
      <c r="V671" s="81"/>
      <c r="W671" s="81"/>
      <c r="X671" s="81"/>
      <c r="Y671" s="81"/>
      <c r="Z671" s="81"/>
      <c r="AA671" s="81"/>
      <c r="AB671" s="81"/>
      <c r="AC671" s="81"/>
      <c r="AD671" s="81"/>
      <c r="AE671" s="81"/>
      <c r="AF671" s="81"/>
    </row>
    <row r="672" spans="1:32">
      <c r="A672" s="76" t="s">
        <v>1406</v>
      </c>
      <c r="B672" s="79">
        <f>B675*2*0.35</f>
        <v>44765</v>
      </c>
      <c r="C672" s="79">
        <f t="shared" ref="C672:I672" si="1114">C675*2*0.35</f>
        <v>51170</v>
      </c>
      <c r="D672" s="79">
        <f t="shared" si="1114"/>
        <v>57574.999999999993</v>
      </c>
      <c r="E672" s="79">
        <f t="shared" si="1114"/>
        <v>63944.999999999993</v>
      </c>
      <c r="F672" s="79">
        <f t="shared" si="1114"/>
        <v>69090</v>
      </c>
      <c r="G672" s="79">
        <f t="shared" si="1114"/>
        <v>74200</v>
      </c>
      <c r="H672" s="79">
        <f t="shared" si="1114"/>
        <v>79310</v>
      </c>
      <c r="I672" s="79">
        <f t="shared" si="1114"/>
        <v>84420</v>
      </c>
      <c r="J672" s="80">
        <f t="shared" si="1103"/>
        <v>1119</v>
      </c>
      <c r="K672" s="80">
        <f t="shared" si="1104"/>
        <v>1199</v>
      </c>
      <c r="L672" s="80">
        <f t="shared" si="1105"/>
        <v>1439</v>
      </c>
      <c r="M672" s="80">
        <f t="shared" si="1106"/>
        <v>1662</v>
      </c>
      <c r="N672" s="80">
        <f t="shared" si="1107"/>
        <v>1855</v>
      </c>
      <c r="O672" s="80">
        <f t="shared" si="1108"/>
        <v>2046</v>
      </c>
      <c r="P672" s="81"/>
      <c r="Q672" s="81"/>
      <c r="R672" s="81"/>
      <c r="S672" s="81"/>
      <c r="T672" s="81"/>
      <c r="U672" s="81"/>
      <c r="V672" s="81"/>
      <c r="W672" s="81"/>
      <c r="X672" s="81"/>
      <c r="Y672" s="81"/>
      <c r="Z672" s="81"/>
      <c r="AA672" s="81"/>
      <c r="AB672" s="81"/>
      <c r="AC672" s="81"/>
      <c r="AD672" s="81"/>
      <c r="AE672" s="81"/>
      <c r="AF672" s="81"/>
    </row>
    <row r="673" spans="1:32">
      <c r="A673" s="76" t="s">
        <v>1407</v>
      </c>
      <c r="B673" s="79">
        <f>B675*2*0.4</f>
        <v>51160</v>
      </c>
      <c r="C673" s="79">
        <f t="shared" ref="C673:I673" si="1115">C675*2*0.4</f>
        <v>58480</v>
      </c>
      <c r="D673" s="79">
        <f t="shared" si="1115"/>
        <v>65800</v>
      </c>
      <c r="E673" s="79">
        <f t="shared" si="1115"/>
        <v>73080</v>
      </c>
      <c r="F673" s="79">
        <f t="shared" si="1115"/>
        <v>78960</v>
      </c>
      <c r="G673" s="79">
        <f t="shared" si="1115"/>
        <v>84800</v>
      </c>
      <c r="H673" s="79">
        <f t="shared" si="1115"/>
        <v>90640</v>
      </c>
      <c r="I673" s="79">
        <f t="shared" si="1115"/>
        <v>96480</v>
      </c>
      <c r="J673" s="80">
        <f t="shared" si="1103"/>
        <v>1279</v>
      </c>
      <c r="K673" s="80">
        <f t="shared" si="1104"/>
        <v>1370</v>
      </c>
      <c r="L673" s="80">
        <f t="shared" si="1105"/>
        <v>1645</v>
      </c>
      <c r="M673" s="80">
        <f t="shared" si="1106"/>
        <v>1900</v>
      </c>
      <c r="N673" s="80">
        <f t="shared" si="1107"/>
        <v>2120</v>
      </c>
      <c r="O673" s="80">
        <f t="shared" si="1108"/>
        <v>2339</v>
      </c>
      <c r="P673" s="81"/>
      <c r="Q673" s="81"/>
      <c r="R673" s="81"/>
      <c r="S673" s="81"/>
      <c r="T673" s="81"/>
      <c r="U673" s="81"/>
      <c r="V673" s="81"/>
      <c r="W673" s="81"/>
      <c r="X673" s="81"/>
      <c r="Y673" s="81"/>
      <c r="Z673" s="81"/>
      <c r="AA673" s="81"/>
      <c r="AB673" s="81"/>
      <c r="AC673" s="81"/>
      <c r="AD673" s="81"/>
      <c r="AE673" s="81"/>
      <c r="AF673" s="81"/>
    </row>
    <row r="674" spans="1:32">
      <c r="A674" s="76" t="s">
        <v>1408</v>
      </c>
      <c r="B674" s="79">
        <f>B675*2*0.45</f>
        <v>57555</v>
      </c>
      <c r="C674" s="79">
        <f t="shared" ref="C674:I674" si="1116">C675*2*0.45</f>
        <v>65790</v>
      </c>
      <c r="D674" s="79">
        <f t="shared" si="1116"/>
        <v>74025</v>
      </c>
      <c r="E674" s="79">
        <f t="shared" si="1116"/>
        <v>82215</v>
      </c>
      <c r="F674" s="79">
        <f t="shared" si="1116"/>
        <v>88830</v>
      </c>
      <c r="G674" s="79">
        <f t="shared" si="1116"/>
        <v>95400</v>
      </c>
      <c r="H674" s="79">
        <f t="shared" si="1116"/>
        <v>101970</v>
      </c>
      <c r="I674" s="79">
        <f t="shared" si="1116"/>
        <v>108540</v>
      </c>
      <c r="J674" s="80">
        <f t="shared" si="1103"/>
        <v>1438</v>
      </c>
      <c r="K674" s="80">
        <f t="shared" si="1104"/>
        <v>1541</v>
      </c>
      <c r="L674" s="80">
        <f t="shared" si="1105"/>
        <v>1850</v>
      </c>
      <c r="M674" s="80">
        <f t="shared" si="1106"/>
        <v>2138</v>
      </c>
      <c r="N674" s="80">
        <f t="shared" si="1107"/>
        <v>2385</v>
      </c>
      <c r="O674" s="80">
        <f t="shared" si="1108"/>
        <v>2631</v>
      </c>
      <c r="P674" s="81"/>
      <c r="Q674" s="81"/>
      <c r="R674" s="81"/>
      <c r="S674" s="81"/>
      <c r="T674" s="81"/>
      <c r="U674" s="81"/>
      <c r="V674" s="81"/>
      <c r="W674" s="81"/>
      <c r="X674" s="81"/>
      <c r="Y674" s="81"/>
      <c r="Z674" s="81"/>
      <c r="AA674" s="81"/>
      <c r="AB674" s="81"/>
      <c r="AC674" s="81"/>
      <c r="AD674" s="81"/>
      <c r="AE674" s="81"/>
      <c r="AF674" s="81"/>
    </row>
    <row r="675" spans="1:32">
      <c r="A675" s="82" t="s">
        <v>1409</v>
      </c>
      <c r="B675" s="84">
        <f>'MTSP 50% Income Limits '!B39</f>
        <v>63950</v>
      </c>
      <c r="C675" s="84">
        <f>'MTSP 50% Income Limits '!C39</f>
        <v>73100</v>
      </c>
      <c r="D675" s="84">
        <f>'MTSP 50% Income Limits '!D39</f>
        <v>82250</v>
      </c>
      <c r="E675" s="84">
        <f>'MTSP 50% Income Limits '!E39</f>
        <v>91350</v>
      </c>
      <c r="F675" s="84">
        <f>'MTSP 50% Income Limits '!F39</f>
        <v>98700</v>
      </c>
      <c r="G675" s="84">
        <f>'MTSP 50% Income Limits '!G39</f>
        <v>106000</v>
      </c>
      <c r="H675" s="84">
        <f>'MTSP 50% Income Limits '!H39</f>
        <v>113300</v>
      </c>
      <c r="I675" s="84">
        <f>'MTSP 50% Income Limits '!I39</f>
        <v>120600</v>
      </c>
      <c r="J675" s="83">
        <f>TRUNC(B675/12*0.3)</f>
        <v>1598</v>
      </c>
      <c r="K675" s="83">
        <f>TRUNC((B675+C675)/2/12*0.3)</f>
        <v>1713</v>
      </c>
      <c r="L675" s="83">
        <f>TRUNC((D675)/12*0.3)</f>
        <v>2056</v>
      </c>
      <c r="M675" s="83">
        <f>TRUNC(((E675+F675)/2)/12*0.3)</f>
        <v>2375</v>
      </c>
      <c r="N675" s="83">
        <f>TRUNC(G675/12*0.3)</f>
        <v>2650</v>
      </c>
      <c r="O675" s="83">
        <f>TRUNC(((H675+I675)/2)/12*0.3)</f>
        <v>2923</v>
      </c>
      <c r="P675" s="81"/>
      <c r="Q675" s="81"/>
      <c r="R675" s="81"/>
      <c r="S675" s="81"/>
      <c r="T675" s="81"/>
      <c r="U675" s="81"/>
      <c r="V675" s="81"/>
      <c r="W675" s="81"/>
      <c r="X675" s="81"/>
      <c r="Y675" s="81"/>
      <c r="Z675" s="81"/>
      <c r="AA675" s="81"/>
      <c r="AB675" s="81"/>
      <c r="AC675" s="81"/>
      <c r="AD675" s="81"/>
      <c r="AE675" s="81"/>
      <c r="AF675" s="81"/>
    </row>
    <row r="676" spans="1:32">
      <c r="A676" s="76" t="s">
        <v>1410</v>
      </c>
      <c r="B676" s="79">
        <f>B675*2*0.55</f>
        <v>70345</v>
      </c>
      <c r="C676" s="79">
        <f t="shared" ref="C676:I676" si="1117">C675*2*0.55</f>
        <v>80410</v>
      </c>
      <c r="D676" s="79">
        <f t="shared" si="1117"/>
        <v>90475.000000000015</v>
      </c>
      <c r="E676" s="79">
        <f t="shared" si="1117"/>
        <v>100485.00000000001</v>
      </c>
      <c r="F676" s="79">
        <f t="shared" si="1117"/>
        <v>108570.00000000001</v>
      </c>
      <c r="G676" s="79">
        <f t="shared" si="1117"/>
        <v>116600.00000000001</v>
      </c>
      <c r="H676" s="79">
        <f t="shared" si="1117"/>
        <v>124630.00000000001</v>
      </c>
      <c r="I676" s="79">
        <f t="shared" si="1117"/>
        <v>132660</v>
      </c>
      <c r="J676" s="80">
        <f t="shared" ref="J676:J682" si="1118">TRUNC(B676/12*0.3)</f>
        <v>1758</v>
      </c>
      <c r="K676" s="80">
        <f t="shared" ref="K676:K682" si="1119">TRUNC((B676+C676)/2/12*0.3)</f>
        <v>1884</v>
      </c>
      <c r="L676" s="80">
        <f t="shared" ref="L676:L682" si="1120">TRUNC((D676)/12*0.3)</f>
        <v>2261</v>
      </c>
      <c r="M676" s="80">
        <f t="shared" ref="M676:M682" si="1121">TRUNC(((E676+F676)/2)/12*0.3)</f>
        <v>2613</v>
      </c>
      <c r="N676" s="80">
        <f t="shared" ref="N676:N682" si="1122">TRUNC(G676/12*0.3)</f>
        <v>2915</v>
      </c>
      <c r="O676" s="80">
        <f t="shared" ref="O676:O682" si="1123">TRUNC(((H676+I676)/2)/12*0.3)</f>
        <v>3216</v>
      </c>
      <c r="P676" s="81"/>
      <c r="Q676" s="81"/>
      <c r="R676" s="81"/>
      <c r="S676" s="81"/>
      <c r="T676" s="81"/>
      <c r="U676" s="81"/>
      <c r="V676" s="81"/>
      <c r="W676" s="81"/>
      <c r="X676" s="81"/>
      <c r="Y676" s="81"/>
      <c r="Z676" s="81"/>
      <c r="AA676" s="81"/>
      <c r="AB676" s="81"/>
      <c r="AC676" s="81"/>
      <c r="AD676" s="81"/>
      <c r="AE676" s="81"/>
      <c r="AF676" s="81"/>
    </row>
    <row r="677" spans="1:32">
      <c r="A677" s="76" t="s">
        <v>1411</v>
      </c>
      <c r="B677" s="79">
        <f>B675*2*0.6</f>
        <v>76740</v>
      </c>
      <c r="C677" s="79">
        <f t="shared" ref="C677:I677" si="1124">C675*2*0.6</f>
        <v>87720</v>
      </c>
      <c r="D677" s="79">
        <f t="shared" si="1124"/>
        <v>98700</v>
      </c>
      <c r="E677" s="79">
        <f t="shared" si="1124"/>
        <v>109620</v>
      </c>
      <c r="F677" s="79">
        <f t="shared" si="1124"/>
        <v>118440</v>
      </c>
      <c r="G677" s="79">
        <f t="shared" si="1124"/>
        <v>127200</v>
      </c>
      <c r="H677" s="79">
        <f t="shared" si="1124"/>
        <v>135960</v>
      </c>
      <c r="I677" s="79">
        <f t="shared" si="1124"/>
        <v>144720</v>
      </c>
      <c r="J677" s="80">
        <f t="shared" si="1118"/>
        <v>1918</v>
      </c>
      <c r="K677" s="80">
        <f t="shared" si="1119"/>
        <v>2055</v>
      </c>
      <c r="L677" s="80">
        <f t="shared" si="1120"/>
        <v>2467</v>
      </c>
      <c r="M677" s="80">
        <f t="shared" si="1121"/>
        <v>2850</v>
      </c>
      <c r="N677" s="80">
        <f t="shared" si="1122"/>
        <v>3180</v>
      </c>
      <c r="O677" s="80">
        <f t="shared" si="1123"/>
        <v>3508</v>
      </c>
      <c r="P677" s="81"/>
      <c r="Q677" s="81"/>
      <c r="R677" s="81"/>
      <c r="S677" s="81"/>
      <c r="T677" s="81"/>
      <c r="U677" s="81"/>
      <c r="V677" s="81"/>
      <c r="W677" s="81"/>
      <c r="X677" s="81"/>
      <c r="Y677" s="81"/>
      <c r="Z677" s="81"/>
      <c r="AA677" s="81"/>
      <c r="AB677" s="81"/>
      <c r="AC677" s="81"/>
      <c r="AD677" s="81"/>
      <c r="AE677" s="81"/>
      <c r="AF677" s="81"/>
    </row>
    <row r="678" spans="1:32">
      <c r="A678" s="76" t="s">
        <v>1412</v>
      </c>
      <c r="B678" s="79">
        <f>B675*2*0.65</f>
        <v>83135</v>
      </c>
      <c r="C678" s="79">
        <f t="shared" ref="C678:I678" si="1125">C675*2*0.65</f>
        <v>95030</v>
      </c>
      <c r="D678" s="79">
        <f t="shared" si="1125"/>
        <v>106925</v>
      </c>
      <c r="E678" s="79">
        <f t="shared" si="1125"/>
        <v>118755</v>
      </c>
      <c r="F678" s="79">
        <f t="shared" si="1125"/>
        <v>128310</v>
      </c>
      <c r="G678" s="79">
        <f t="shared" si="1125"/>
        <v>137800</v>
      </c>
      <c r="H678" s="79">
        <f t="shared" si="1125"/>
        <v>147290</v>
      </c>
      <c r="I678" s="79">
        <f t="shared" si="1125"/>
        <v>156780</v>
      </c>
      <c r="J678" s="80">
        <f t="shared" si="1118"/>
        <v>2078</v>
      </c>
      <c r="K678" s="80">
        <f t="shared" si="1119"/>
        <v>2227</v>
      </c>
      <c r="L678" s="80">
        <f t="shared" si="1120"/>
        <v>2673</v>
      </c>
      <c r="M678" s="80">
        <f t="shared" si="1121"/>
        <v>3088</v>
      </c>
      <c r="N678" s="80">
        <f t="shared" si="1122"/>
        <v>3445</v>
      </c>
      <c r="O678" s="80">
        <f t="shared" si="1123"/>
        <v>3800</v>
      </c>
      <c r="P678" s="81"/>
      <c r="Q678" s="81"/>
      <c r="R678" s="81"/>
      <c r="S678" s="81"/>
      <c r="T678" s="81"/>
      <c r="U678" s="81"/>
      <c r="V678" s="81"/>
      <c r="W678" s="81"/>
      <c r="X678" s="81"/>
      <c r="Y678" s="81"/>
      <c r="Z678" s="81"/>
      <c r="AA678" s="81"/>
      <c r="AB678" s="81"/>
      <c r="AC678" s="81"/>
      <c r="AD678" s="81"/>
      <c r="AE678" s="81"/>
      <c r="AF678" s="81"/>
    </row>
    <row r="679" spans="1:32">
      <c r="A679" s="76" t="s">
        <v>1413</v>
      </c>
      <c r="B679" s="79">
        <f>B675*2*0.7</f>
        <v>89530</v>
      </c>
      <c r="C679" s="79">
        <f t="shared" ref="C679:I679" si="1126">C675*2*0.7</f>
        <v>102340</v>
      </c>
      <c r="D679" s="79">
        <f t="shared" si="1126"/>
        <v>115149.99999999999</v>
      </c>
      <c r="E679" s="79">
        <f t="shared" si="1126"/>
        <v>127889.99999999999</v>
      </c>
      <c r="F679" s="79">
        <f t="shared" si="1126"/>
        <v>138180</v>
      </c>
      <c r="G679" s="79">
        <f t="shared" si="1126"/>
        <v>148400</v>
      </c>
      <c r="H679" s="79">
        <f t="shared" si="1126"/>
        <v>158620</v>
      </c>
      <c r="I679" s="79">
        <f t="shared" si="1126"/>
        <v>168840</v>
      </c>
      <c r="J679" s="80">
        <f t="shared" si="1118"/>
        <v>2238</v>
      </c>
      <c r="K679" s="80">
        <f t="shared" si="1119"/>
        <v>2398</v>
      </c>
      <c r="L679" s="80">
        <f t="shared" si="1120"/>
        <v>2878</v>
      </c>
      <c r="M679" s="80">
        <f t="shared" si="1121"/>
        <v>3325</v>
      </c>
      <c r="N679" s="80">
        <f t="shared" si="1122"/>
        <v>3710</v>
      </c>
      <c r="O679" s="80">
        <f t="shared" si="1123"/>
        <v>4093</v>
      </c>
      <c r="P679" s="81"/>
      <c r="Q679" s="81"/>
      <c r="R679" s="81"/>
      <c r="S679" s="81"/>
      <c r="T679" s="81"/>
      <c r="U679" s="81"/>
      <c r="V679" s="81"/>
      <c r="W679" s="81"/>
      <c r="X679" s="81"/>
      <c r="Y679" s="81"/>
      <c r="Z679" s="81"/>
      <c r="AA679" s="81"/>
      <c r="AB679" s="81"/>
      <c r="AC679" s="81"/>
      <c r="AD679" s="81"/>
      <c r="AE679" s="81"/>
      <c r="AF679" s="81"/>
    </row>
    <row r="680" spans="1:32">
      <c r="A680" s="76" t="s">
        <v>1414</v>
      </c>
      <c r="B680" s="79">
        <f>B675*2*0.75</f>
        <v>95925</v>
      </c>
      <c r="C680" s="79">
        <f t="shared" ref="C680:I680" si="1127">C675*2*0.75</f>
        <v>109650</v>
      </c>
      <c r="D680" s="79">
        <f t="shared" si="1127"/>
        <v>123375</v>
      </c>
      <c r="E680" s="79">
        <f t="shared" si="1127"/>
        <v>137025</v>
      </c>
      <c r="F680" s="79">
        <f t="shared" si="1127"/>
        <v>148050</v>
      </c>
      <c r="G680" s="79">
        <f t="shared" si="1127"/>
        <v>159000</v>
      </c>
      <c r="H680" s="79">
        <f t="shared" si="1127"/>
        <v>169950</v>
      </c>
      <c r="I680" s="79">
        <f t="shared" si="1127"/>
        <v>180900</v>
      </c>
      <c r="J680" s="80">
        <f t="shared" si="1118"/>
        <v>2398</v>
      </c>
      <c r="K680" s="80">
        <f t="shared" si="1119"/>
        <v>2569</v>
      </c>
      <c r="L680" s="80">
        <f t="shared" si="1120"/>
        <v>3084</v>
      </c>
      <c r="M680" s="80">
        <f t="shared" si="1121"/>
        <v>3563</v>
      </c>
      <c r="N680" s="80">
        <f t="shared" si="1122"/>
        <v>3975</v>
      </c>
      <c r="O680" s="80">
        <f t="shared" si="1123"/>
        <v>4385</v>
      </c>
      <c r="P680" s="81"/>
      <c r="Q680" s="81"/>
      <c r="R680" s="81"/>
      <c r="S680" s="81"/>
      <c r="T680" s="81"/>
      <c r="U680" s="81"/>
      <c r="V680" s="81"/>
      <c r="W680" s="81"/>
      <c r="X680" s="81"/>
      <c r="Y680" s="81"/>
      <c r="Z680" s="81"/>
      <c r="AA680" s="81"/>
      <c r="AB680" s="81"/>
      <c r="AC680" s="81"/>
      <c r="AD680" s="81"/>
      <c r="AE680" s="81"/>
      <c r="AF680" s="81"/>
    </row>
    <row r="681" spans="1:32">
      <c r="A681" s="76" t="s">
        <v>1415</v>
      </c>
      <c r="B681" s="79">
        <f>B675*2*0.8</f>
        <v>102320</v>
      </c>
      <c r="C681" s="79">
        <f t="shared" ref="C681:I681" si="1128">C675*2*0.8</f>
        <v>116960</v>
      </c>
      <c r="D681" s="79">
        <f t="shared" si="1128"/>
        <v>131600</v>
      </c>
      <c r="E681" s="79">
        <f t="shared" si="1128"/>
        <v>146160</v>
      </c>
      <c r="F681" s="79">
        <f t="shared" si="1128"/>
        <v>157920</v>
      </c>
      <c r="G681" s="79">
        <f t="shared" si="1128"/>
        <v>169600</v>
      </c>
      <c r="H681" s="79">
        <f t="shared" si="1128"/>
        <v>181280</v>
      </c>
      <c r="I681" s="79">
        <f t="shared" si="1128"/>
        <v>192960</v>
      </c>
      <c r="J681" s="80">
        <f t="shared" si="1118"/>
        <v>2558</v>
      </c>
      <c r="K681" s="80">
        <f t="shared" si="1119"/>
        <v>2741</v>
      </c>
      <c r="L681" s="80">
        <f t="shared" si="1120"/>
        <v>3290</v>
      </c>
      <c r="M681" s="80">
        <f t="shared" si="1121"/>
        <v>3801</v>
      </c>
      <c r="N681" s="80">
        <f t="shared" si="1122"/>
        <v>4240</v>
      </c>
      <c r="O681" s="80">
        <f t="shared" si="1123"/>
        <v>4678</v>
      </c>
      <c r="P681" s="81"/>
      <c r="Q681" s="81"/>
      <c r="R681" s="81"/>
      <c r="S681" s="81"/>
      <c r="T681" s="81"/>
      <c r="U681" s="81"/>
      <c r="V681" s="81"/>
      <c r="W681" s="81"/>
      <c r="X681" s="81"/>
      <c r="Y681" s="81"/>
      <c r="Z681" s="81"/>
      <c r="AA681" s="81"/>
      <c r="AB681" s="81"/>
      <c r="AC681" s="81"/>
      <c r="AD681" s="81"/>
      <c r="AE681" s="81"/>
      <c r="AF681" s="81"/>
    </row>
    <row r="682" spans="1:32">
      <c r="A682" s="76" t="s">
        <v>1416</v>
      </c>
      <c r="B682" s="79">
        <f>B675*2*0.9</f>
        <v>115110</v>
      </c>
      <c r="C682" s="79">
        <f t="shared" ref="C682:I682" si="1129">C675*2*0.9</f>
        <v>131580</v>
      </c>
      <c r="D682" s="79">
        <f t="shared" si="1129"/>
        <v>148050</v>
      </c>
      <c r="E682" s="79">
        <f t="shared" si="1129"/>
        <v>164430</v>
      </c>
      <c r="F682" s="79">
        <f t="shared" si="1129"/>
        <v>177660</v>
      </c>
      <c r="G682" s="79">
        <f t="shared" si="1129"/>
        <v>190800</v>
      </c>
      <c r="H682" s="79">
        <f t="shared" si="1129"/>
        <v>203940</v>
      </c>
      <c r="I682" s="79">
        <f t="shared" si="1129"/>
        <v>217080</v>
      </c>
      <c r="J682" s="80">
        <f t="shared" si="1118"/>
        <v>2877</v>
      </c>
      <c r="K682" s="80">
        <f t="shared" si="1119"/>
        <v>3083</v>
      </c>
      <c r="L682" s="80">
        <f t="shared" si="1120"/>
        <v>3701</v>
      </c>
      <c r="M682" s="80">
        <f t="shared" si="1121"/>
        <v>4276</v>
      </c>
      <c r="N682" s="80">
        <f t="shared" si="1122"/>
        <v>4770</v>
      </c>
      <c r="O682" s="80">
        <f t="shared" si="1123"/>
        <v>5262</v>
      </c>
      <c r="P682" s="81"/>
      <c r="Q682" s="81"/>
      <c r="R682" s="81"/>
      <c r="S682" s="81"/>
      <c r="T682" s="81"/>
      <c r="U682" s="81"/>
      <c r="V682" s="81"/>
      <c r="W682" s="81"/>
      <c r="X682" s="81"/>
      <c r="Y682" s="81"/>
      <c r="Z682" s="81"/>
      <c r="AA682" s="81"/>
      <c r="AB682" s="81"/>
      <c r="AC682" s="81"/>
      <c r="AD682" s="81"/>
      <c r="AE682" s="81"/>
      <c r="AF682" s="81"/>
    </row>
    <row r="683" spans="1:32">
      <c r="A683" s="76" t="s">
        <v>1417</v>
      </c>
      <c r="B683" s="79">
        <f>B675*2</f>
        <v>127900</v>
      </c>
      <c r="C683" s="79">
        <f t="shared" ref="C683:I683" si="1130">C675*2</f>
        <v>146200</v>
      </c>
      <c r="D683" s="79">
        <f t="shared" si="1130"/>
        <v>164500</v>
      </c>
      <c r="E683" s="79">
        <f t="shared" si="1130"/>
        <v>182700</v>
      </c>
      <c r="F683" s="79">
        <f t="shared" si="1130"/>
        <v>197400</v>
      </c>
      <c r="G683" s="79">
        <f t="shared" si="1130"/>
        <v>212000</v>
      </c>
      <c r="H683" s="79">
        <f t="shared" si="1130"/>
        <v>226600</v>
      </c>
      <c r="I683" s="79">
        <f t="shared" si="1130"/>
        <v>241200</v>
      </c>
      <c r="J683" s="80">
        <f>J675*2</f>
        <v>3196</v>
      </c>
      <c r="K683" s="80">
        <f t="shared" ref="K683:O683" si="1131">K675*2</f>
        <v>3426</v>
      </c>
      <c r="L683" s="80">
        <f t="shared" si="1131"/>
        <v>4112</v>
      </c>
      <c r="M683" s="80">
        <f t="shared" si="1131"/>
        <v>4750</v>
      </c>
      <c r="N683" s="80">
        <f t="shared" si="1131"/>
        <v>5300</v>
      </c>
      <c r="O683" s="80">
        <f t="shared" si="1131"/>
        <v>5846</v>
      </c>
      <c r="P683" s="81"/>
      <c r="Q683" s="81"/>
      <c r="R683" s="81"/>
      <c r="S683" s="81"/>
      <c r="T683" s="81"/>
      <c r="U683" s="81"/>
      <c r="V683" s="81"/>
      <c r="W683" s="81"/>
      <c r="X683" s="81"/>
      <c r="Y683" s="81"/>
      <c r="Z683" s="81"/>
      <c r="AA683" s="81"/>
      <c r="AB683" s="81"/>
      <c r="AC683" s="81"/>
      <c r="AD683" s="81"/>
      <c r="AE683" s="81"/>
      <c r="AF683" s="81"/>
    </row>
    <row r="684" spans="1:32">
      <c r="A684" s="76" t="s">
        <v>1418</v>
      </c>
      <c r="B684" s="79">
        <f>B675*2*1.1</f>
        <v>140690</v>
      </c>
      <c r="C684" s="79">
        <f t="shared" ref="C684:I684" si="1132">C675*2*1.1</f>
        <v>160820</v>
      </c>
      <c r="D684" s="79">
        <f t="shared" si="1132"/>
        <v>180950.00000000003</v>
      </c>
      <c r="E684" s="79">
        <f t="shared" si="1132"/>
        <v>200970.00000000003</v>
      </c>
      <c r="F684" s="79">
        <f t="shared" si="1132"/>
        <v>217140.00000000003</v>
      </c>
      <c r="G684" s="79">
        <f t="shared" si="1132"/>
        <v>233200.00000000003</v>
      </c>
      <c r="H684" s="79">
        <f t="shared" si="1132"/>
        <v>249260.00000000003</v>
      </c>
      <c r="I684" s="79">
        <f t="shared" si="1132"/>
        <v>265320</v>
      </c>
      <c r="J684" s="80">
        <f t="shared" ref="J684:J692" si="1133">TRUNC(B684/12*0.3)</f>
        <v>3517</v>
      </c>
      <c r="K684" s="80">
        <f t="shared" ref="K684:K692" si="1134">TRUNC((B684+C684)/2/12*0.3)</f>
        <v>3768</v>
      </c>
      <c r="L684" s="80">
        <f t="shared" ref="L684:L692" si="1135">TRUNC((D684)/12*0.3)</f>
        <v>4523</v>
      </c>
      <c r="M684" s="80">
        <f t="shared" ref="M684:M692" si="1136">TRUNC(((E684+F684)/2)/12*0.3)</f>
        <v>5226</v>
      </c>
      <c r="N684" s="80">
        <f t="shared" ref="N684:N692" si="1137">TRUNC(G684/12*0.3)</f>
        <v>5830</v>
      </c>
      <c r="O684" s="80">
        <f t="shared" ref="O684:O692" si="1138">TRUNC(((H684+I684)/2)/12*0.3)</f>
        <v>6432</v>
      </c>
      <c r="P684" s="81"/>
      <c r="Q684" s="81"/>
      <c r="R684" s="81"/>
      <c r="S684" s="81"/>
      <c r="T684" s="81"/>
      <c r="U684" s="81"/>
      <c r="V684" s="81"/>
      <c r="W684" s="81"/>
      <c r="X684" s="81"/>
      <c r="Y684" s="81"/>
      <c r="Z684" s="81"/>
      <c r="AA684" s="81"/>
      <c r="AB684" s="81"/>
      <c r="AC684" s="81"/>
      <c r="AD684" s="81"/>
      <c r="AE684" s="81"/>
      <c r="AF684" s="81"/>
    </row>
    <row r="685" spans="1:32">
      <c r="A685" s="76" t="s">
        <v>1419</v>
      </c>
      <c r="B685" s="79">
        <f>B675*2*1.2</f>
        <v>153480</v>
      </c>
      <c r="C685" s="79">
        <f t="shared" ref="C685:I685" si="1139">C675*2*1.2</f>
        <v>175440</v>
      </c>
      <c r="D685" s="79">
        <f t="shared" si="1139"/>
        <v>197400</v>
      </c>
      <c r="E685" s="79">
        <f t="shared" si="1139"/>
        <v>219240</v>
      </c>
      <c r="F685" s="79">
        <f t="shared" si="1139"/>
        <v>236880</v>
      </c>
      <c r="G685" s="79">
        <f t="shared" si="1139"/>
        <v>254400</v>
      </c>
      <c r="H685" s="79">
        <f t="shared" si="1139"/>
        <v>271920</v>
      </c>
      <c r="I685" s="79">
        <f t="shared" si="1139"/>
        <v>289440</v>
      </c>
      <c r="J685" s="80">
        <f t="shared" si="1133"/>
        <v>3837</v>
      </c>
      <c r="K685" s="80">
        <f t="shared" si="1134"/>
        <v>4111</v>
      </c>
      <c r="L685" s="80">
        <f t="shared" si="1135"/>
        <v>4935</v>
      </c>
      <c r="M685" s="80">
        <f t="shared" si="1136"/>
        <v>5701</v>
      </c>
      <c r="N685" s="80">
        <f t="shared" si="1137"/>
        <v>6360</v>
      </c>
      <c r="O685" s="80">
        <f t="shared" si="1138"/>
        <v>7017</v>
      </c>
      <c r="P685" s="81"/>
      <c r="Q685" s="81"/>
      <c r="R685" s="81"/>
      <c r="S685" s="81"/>
      <c r="T685" s="81"/>
      <c r="U685" s="81"/>
      <c r="V685" s="81"/>
      <c r="W685" s="81"/>
      <c r="X685" s="81"/>
      <c r="Y685" s="81"/>
      <c r="Z685" s="81"/>
      <c r="AA685" s="81"/>
      <c r="AB685" s="81"/>
      <c r="AC685" s="81"/>
      <c r="AD685" s="81"/>
      <c r="AE685" s="81"/>
      <c r="AF685" s="81"/>
    </row>
    <row r="686" spans="1:32">
      <c r="A686" s="76" t="s">
        <v>1420</v>
      </c>
      <c r="B686" s="79">
        <f>B693*2*0.15</f>
        <v>7770</v>
      </c>
      <c r="C686" s="79">
        <f>C693*2*0.15</f>
        <v>8880</v>
      </c>
      <c r="D686" s="79">
        <f>D693*2*0.15</f>
        <v>9990</v>
      </c>
      <c r="E686" s="79">
        <f>E693*2*0.15</f>
        <v>11100</v>
      </c>
      <c r="F686" s="79">
        <f>F693*2*0.15</f>
        <v>12000</v>
      </c>
      <c r="G686" s="79">
        <f t="shared" ref="G686:I686" si="1140">G693*2*0.15</f>
        <v>12885</v>
      </c>
      <c r="H686" s="79">
        <f t="shared" si="1140"/>
        <v>13770</v>
      </c>
      <c r="I686" s="79">
        <f t="shared" si="1140"/>
        <v>14655</v>
      </c>
      <c r="J686" s="80">
        <f t="shared" si="1133"/>
        <v>194</v>
      </c>
      <c r="K686" s="80">
        <f t="shared" si="1134"/>
        <v>208</v>
      </c>
      <c r="L686" s="80">
        <f t="shared" si="1135"/>
        <v>249</v>
      </c>
      <c r="M686" s="80">
        <f t="shared" si="1136"/>
        <v>288</v>
      </c>
      <c r="N686" s="80">
        <f t="shared" si="1137"/>
        <v>322</v>
      </c>
      <c r="O686" s="80">
        <f t="shared" si="1138"/>
        <v>355</v>
      </c>
      <c r="P686" s="81"/>
      <c r="Q686" s="81"/>
      <c r="R686" s="81"/>
      <c r="S686" s="81"/>
      <c r="T686" s="81"/>
      <c r="U686" s="81"/>
      <c r="V686" s="81"/>
      <c r="W686" s="81"/>
      <c r="X686" s="81"/>
      <c r="Y686" s="81"/>
      <c r="Z686" s="81"/>
      <c r="AA686" s="81"/>
      <c r="AB686" s="81"/>
      <c r="AC686" s="81"/>
      <c r="AD686" s="81"/>
      <c r="AE686" s="81"/>
      <c r="AF686" s="81"/>
    </row>
    <row r="687" spans="1:32">
      <c r="A687" s="76" t="s">
        <v>1421</v>
      </c>
      <c r="B687" s="79">
        <f>B693*2*0.2</f>
        <v>10360</v>
      </c>
      <c r="C687" s="79">
        <f t="shared" ref="C687:I687" si="1141">C693*2*0.2</f>
        <v>11840</v>
      </c>
      <c r="D687" s="79">
        <f t="shared" si="1141"/>
        <v>13320</v>
      </c>
      <c r="E687" s="79">
        <f t="shared" si="1141"/>
        <v>14800</v>
      </c>
      <c r="F687" s="79">
        <f t="shared" si="1141"/>
        <v>16000</v>
      </c>
      <c r="G687" s="79">
        <f t="shared" si="1141"/>
        <v>17180</v>
      </c>
      <c r="H687" s="79">
        <f t="shared" si="1141"/>
        <v>18360</v>
      </c>
      <c r="I687" s="79">
        <f t="shared" si="1141"/>
        <v>19540</v>
      </c>
      <c r="J687" s="80">
        <f t="shared" si="1133"/>
        <v>259</v>
      </c>
      <c r="K687" s="80">
        <f t="shared" si="1134"/>
        <v>277</v>
      </c>
      <c r="L687" s="80">
        <f t="shared" si="1135"/>
        <v>333</v>
      </c>
      <c r="M687" s="80">
        <f t="shared" si="1136"/>
        <v>385</v>
      </c>
      <c r="N687" s="80">
        <f t="shared" si="1137"/>
        <v>429</v>
      </c>
      <c r="O687" s="80">
        <f t="shared" si="1138"/>
        <v>473</v>
      </c>
      <c r="P687" s="81"/>
      <c r="Q687" s="81"/>
      <c r="R687" s="81"/>
      <c r="S687" s="81"/>
      <c r="T687" s="81"/>
      <c r="U687" s="81"/>
      <c r="V687" s="81"/>
      <c r="W687" s="81"/>
      <c r="X687" s="81"/>
      <c r="Y687" s="81"/>
      <c r="Z687" s="81"/>
      <c r="AA687" s="81"/>
      <c r="AB687" s="81"/>
      <c r="AC687" s="81"/>
      <c r="AD687" s="81"/>
      <c r="AE687" s="81"/>
      <c r="AF687" s="81"/>
    </row>
    <row r="688" spans="1:32">
      <c r="A688" s="76" t="s">
        <v>1422</v>
      </c>
      <c r="B688" s="79">
        <f>B693*2*0.25</f>
        <v>12950</v>
      </c>
      <c r="C688" s="79">
        <f t="shared" ref="C688:I688" si="1142">C693*2*0.25</f>
        <v>14800</v>
      </c>
      <c r="D688" s="79">
        <f t="shared" si="1142"/>
        <v>16650</v>
      </c>
      <c r="E688" s="79">
        <f t="shared" si="1142"/>
        <v>18500</v>
      </c>
      <c r="F688" s="79">
        <f t="shared" si="1142"/>
        <v>20000</v>
      </c>
      <c r="G688" s="79">
        <f t="shared" si="1142"/>
        <v>21475</v>
      </c>
      <c r="H688" s="79">
        <f t="shared" si="1142"/>
        <v>22950</v>
      </c>
      <c r="I688" s="79">
        <f t="shared" si="1142"/>
        <v>24425</v>
      </c>
      <c r="J688" s="80">
        <f t="shared" si="1133"/>
        <v>323</v>
      </c>
      <c r="K688" s="80">
        <f t="shared" si="1134"/>
        <v>346</v>
      </c>
      <c r="L688" s="80">
        <f t="shared" si="1135"/>
        <v>416</v>
      </c>
      <c r="M688" s="80">
        <f t="shared" si="1136"/>
        <v>481</v>
      </c>
      <c r="N688" s="80">
        <f t="shared" si="1137"/>
        <v>536</v>
      </c>
      <c r="O688" s="80">
        <f t="shared" si="1138"/>
        <v>592</v>
      </c>
      <c r="P688" s="81"/>
      <c r="Q688" s="81"/>
      <c r="R688" s="81"/>
      <c r="S688" s="81"/>
      <c r="T688" s="81"/>
      <c r="U688" s="81"/>
      <c r="V688" s="81"/>
      <c r="W688" s="81"/>
      <c r="X688" s="81"/>
      <c r="Y688" s="81"/>
      <c r="Z688" s="81"/>
      <c r="AA688" s="81"/>
      <c r="AB688" s="81"/>
      <c r="AC688" s="81"/>
      <c r="AD688" s="81"/>
      <c r="AE688" s="81"/>
      <c r="AF688" s="81"/>
    </row>
    <row r="689" spans="1:32">
      <c r="A689" s="76" t="s">
        <v>1423</v>
      </c>
      <c r="B689" s="79">
        <f>B693*2*0.3</f>
        <v>15540</v>
      </c>
      <c r="C689" s="79">
        <f t="shared" ref="C689:I689" si="1143">C693*2*0.3</f>
        <v>17760</v>
      </c>
      <c r="D689" s="79">
        <f t="shared" si="1143"/>
        <v>19980</v>
      </c>
      <c r="E689" s="79">
        <f t="shared" si="1143"/>
        <v>22200</v>
      </c>
      <c r="F689" s="79">
        <f t="shared" si="1143"/>
        <v>24000</v>
      </c>
      <c r="G689" s="79">
        <f t="shared" si="1143"/>
        <v>25770</v>
      </c>
      <c r="H689" s="79">
        <f t="shared" si="1143"/>
        <v>27540</v>
      </c>
      <c r="I689" s="79">
        <f t="shared" si="1143"/>
        <v>29310</v>
      </c>
      <c r="J689" s="80">
        <f t="shared" si="1133"/>
        <v>388</v>
      </c>
      <c r="K689" s="80">
        <f t="shared" si="1134"/>
        <v>416</v>
      </c>
      <c r="L689" s="80">
        <f t="shared" si="1135"/>
        <v>499</v>
      </c>
      <c r="M689" s="80">
        <f t="shared" si="1136"/>
        <v>577</v>
      </c>
      <c r="N689" s="80">
        <f t="shared" si="1137"/>
        <v>644</v>
      </c>
      <c r="O689" s="80">
        <f t="shared" si="1138"/>
        <v>710</v>
      </c>
      <c r="P689" s="81"/>
      <c r="Q689" s="81"/>
      <c r="R689" s="81"/>
      <c r="S689" s="81"/>
      <c r="T689" s="81"/>
      <c r="U689" s="81"/>
      <c r="V689" s="81"/>
      <c r="W689" s="81"/>
      <c r="X689" s="81"/>
      <c r="Y689" s="81"/>
      <c r="Z689" s="81"/>
      <c r="AA689" s="81"/>
      <c r="AB689" s="81"/>
      <c r="AC689" s="81"/>
      <c r="AD689" s="81"/>
      <c r="AE689" s="81"/>
      <c r="AF689" s="81"/>
    </row>
    <row r="690" spans="1:32">
      <c r="A690" s="76" t="s">
        <v>1424</v>
      </c>
      <c r="B690" s="79">
        <f>B693*2*0.35</f>
        <v>18130</v>
      </c>
      <c r="C690" s="79">
        <f t="shared" ref="C690:I690" si="1144">C693*2*0.35</f>
        <v>20720</v>
      </c>
      <c r="D690" s="79">
        <f t="shared" si="1144"/>
        <v>23310</v>
      </c>
      <c r="E690" s="79">
        <f t="shared" si="1144"/>
        <v>25900</v>
      </c>
      <c r="F690" s="79">
        <f t="shared" si="1144"/>
        <v>28000</v>
      </c>
      <c r="G690" s="79">
        <f t="shared" si="1144"/>
        <v>30064.999999999996</v>
      </c>
      <c r="H690" s="79">
        <f t="shared" si="1144"/>
        <v>32129.999999999996</v>
      </c>
      <c r="I690" s="79">
        <f t="shared" si="1144"/>
        <v>34195</v>
      </c>
      <c r="J690" s="80">
        <f t="shared" si="1133"/>
        <v>453</v>
      </c>
      <c r="K690" s="80">
        <f t="shared" si="1134"/>
        <v>485</v>
      </c>
      <c r="L690" s="80">
        <f t="shared" si="1135"/>
        <v>582</v>
      </c>
      <c r="M690" s="80">
        <f t="shared" si="1136"/>
        <v>673</v>
      </c>
      <c r="N690" s="80">
        <f t="shared" si="1137"/>
        <v>751</v>
      </c>
      <c r="O690" s="80">
        <f t="shared" si="1138"/>
        <v>829</v>
      </c>
      <c r="P690" s="81"/>
      <c r="Q690" s="81"/>
      <c r="R690" s="81"/>
      <c r="S690" s="81"/>
      <c r="T690" s="81"/>
      <c r="U690" s="81"/>
      <c r="V690" s="81"/>
      <c r="W690" s="81"/>
      <c r="X690" s="81"/>
      <c r="Y690" s="81"/>
      <c r="Z690" s="81"/>
      <c r="AA690" s="81"/>
      <c r="AB690" s="81"/>
      <c r="AC690" s="81"/>
      <c r="AD690" s="81"/>
      <c r="AE690" s="81"/>
      <c r="AF690" s="81"/>
    </row>
    <row r="691" spans="1:32">
      <c r="A691" s="76" t="s">
        <v>1425</v>
      </c>
      <c r="B691" s="79">
        <f>B693*2*0.4</f>
        <v>20720</v>
      </c>
      <c r="C691" s="79">
        <f t="shared" ref="C691:I691" si="1145">C693*2*0.4</f>
        <v>23680</v>
      </c>
      <c r="D691" s="79">
        <f t="shared" si="1145"/>
        <v>26640</v>
      </c>
      <c r="E691" s="79">
        <f t="shared" si="1145"/>
        <v>29600</v>
      </c>
      <c r="F691" s="79">
        <f t="shared" si="1145"/>
        <v>32000</v>
      </c>
      <c r="G691" s="79">
        <f t="shared" si="1145"/>
        <v>34360</v>
      </c>
      <c r="H691" s="79">
        <f t="shared" si="1145"/>
        <v>36720</v>
      </c>
      <c r="I691" s="79">
        <f t="shared" si="1145"/>
        <v>39080</v>
      </c>
      <c r="J691" s="80">
        <f t="shared" si="1133"/>
        <v>518</v>
      </c>
      <c r="K691" s="80">
        <f t="shared" si="1134"/>
        <v>555</v>
      </c>
      <c r="L691" s="80">
        <f t="shared" si="1135"/>
        <v>666</v>
      </c>
      <c r="M691" s="80">
        <f t="shared" si="1136"/>
        <v>770</v>
      </c>
      <c r="N691" s="80">
        <f t="shared" si="1137"/>
        <v>859</v>
      </c>
      <c r="O691" s="80">
        <f t="shared" si="1138"/>
        <v>947</v>
      </c>
      <c r="P691" s="81"/>
      <c r="Q691" s="81"/>
      <c r="R691" s="81"/>
      <c r="S691" s="81"/>
      <c r="T691" s="81"/>
      <c r="U691" s="81"/>
      <c r="V691" s="81"/>
      <c r="W691" s="81"/>
      <c r="X691" s="81"/>
      <c r="Y691" s="81"/>
      <c r="Z691" s="81"/>
      <c r="AA691" s="81"/>
      <c r="AB691" s="81"/>
      <c r="AC691" s="81"/>
      <c r="AD691" s="81"/>
      <c r="AE691" s="81"/>
      <c r="AF691" s="81"/>
    </row>
    <row r="692" spans="1:32">
      <c r="A692" s="76" t="s">
        <v>1426</v>
      </c>
      <c r="B692" s="79">
        <f>B693*2*0.45</f>
        <v>23310</v>
      </c>
      <c r="C692" s="79">
        <f t="shared" ref="C692:I692" si="1146">C693*2*0.45</f>
        <v>26640</v>
      </c>
      <c r="D692" s="79">
        <f t="shared" si="1146"/>
        <v>29970</v>
      </c>
      <c r="E692" s="79">
        <f t="shared" si="1146"/>
        <v>33300</v>
      </c>
      <c r="F692" s="79">
        <f t="shared" si="1146"/>
        <v>36000</v>
      </c>
      <c r="G692" s="79">
        <f t="shared" si="1146"/>
        <v>38655</v>
      </c>
      <c r="H692" s="79">
        <f t="shared" si="1146"/>
        <v>41310</v>
      </c>
      <c r="I692" s="79">
        <f t="shared" si="1146"/>
        <v>43965</v>
      </c>
      <c r="J692" s="80">
        <f t="shared" si="1133"/>
        <v>582</v>
      </c>
      <c r="K692" s="80">
        <f t="shared" si="1134"/>
        <v>624</v>
      </c>
      <c r="L692" s="80">
        <f t="shared" si="1135"/>
        <v>749</v>
      </c>
      <c r="M692" s="80">
        <f t="shared" si="1136"/>
        <v>866</v>
      </c>
      <c r="N692" s="80">
        <f t="shared" si="1137"/>
        <v>966</v>
      </c>
      <c r="O692" s="80">
        <f t="shared" si="1138"/>
        <v>1065</v>
      </c>
      <c r="P692" s="81"/>
      <c r="Q692" s="81"/>
      <c r="R692" s="81"/>
      <c r="S692" s="81"/>
      <c r="T692" s="81"/>
      <c r="U692" s="81"/>
      <c r="V692" s="81"/>
      <c r="W692" s="81"/>
      <c r="X692" s="81"/>
      <c r="Y692" s="81"/>
      <c r="Z692" s="81"/>
      <c r="AA692" s="81"/>
      <c r="AB692" s="81"/>
      <c r="AC692" s="81"/>
      <c r="AD692" s="81"/>
      <c r="AE692" s="81"/>
      <c r="AF692" s="81"/>
    </row>
    <row r="693" spans="1:32">
      <c r="A693" s="82" t="s">
        <v>1427</v>
      </c>
      <c r="B693" s="84">
        <f>'MTSP 50% Income Limits '!B40</f>
        <v>25900</v>
      </c>
      <c r="C693" s="84">
        <f>'MTSP 50% Income Limits '!C40</f>
        <v>29600</v>
      </c>
      <c r="D693" s="84">
        <f>'MTSP 50% Income Limits '!D40</f>
        <v>33300</v>
      </c>
      <c r="E693" s="84">
        <f>'MTSP 50% Income Limits '!E40</f>
        <v>37000</v>
      </c>
      <c r="F693" s="84">
        <f>'MTSP 50% Income Limits '!F40</f>
        <v>40000</v>
      </c>
      <c r="G693" s="84">
        <f>'MTSP 50% Income Limits '!G40</f>
        <v>42950</v>
      </c>
      <c r="H693" s="84">
        <f>'MTSP 50% Income Limits '!H40</f>
        <v>45900</v>
      </c>
      <c r="I693" s="84">
        <f>'MTSP 50% Income Limits '!I40</f>
        <v>48850</v>
      </c>
      <c r="J693" s="83">
        <f>TRUNC(B693/12*0.3)</f>
        <v>647</v>
      </c>
      <c r="K693" s="83">
        <f>TRUNC((B693+C693)/2/12*0.3)</f>
        <v>693</v>
      </c>
      <c r="L693" s="83">
        <f>TRUNC((D693)/12*0.3)</f>
        <v>832</v>
      </c>
      <c r="M693" s="83">
        <f>TRUNC(((E693+F693)/2)/12*0.3)</f>
        <v>962</v>
      </c>
      <c r="N693" s="83">
        <f>TRUNC(G693/12*0.3)</f>
        <v>1073</v>
      </c>
      <c r="O693" s="83">
        <f>TRUNC(((H693+I693)/2)/12*0.3)</f>
        <v>1184</v>
      </c>
      <c r="P693" s="81"/>
      <c r="Q693" s="81"/>
      <c r="R693" s="81"/>
      <c r="S693" s="81"/>
      <c r="T693" s="81"/>
      <c r="U693" s="81"/>
      <c r="V693" s="81"/>
      <c r="W693" s="81"/>
      <c r="X693" s="81"/>
      <c r="Y693" s="81"/>
      <c r="Z693" s="81"/>
      <c r="AA693" s="81"/>
      <c r="AB693" s="81"/>
      <c r="AC693" s="81"/>
      <c r="AD693" s="81"/>
      <c r="AE693" s="81"/>
      <c r="AF693" s="81"/>
    </row>
    <row r="694" spans="1:32">
      <c r="A694" s="76" t="s">
        <v>1428</v>
      </c>
      <c r="B694" s="79">
        <f>B693*2*0.55</f>
        <v>28490.000000000004</v>
      </c>
      <c r="C694" s="79">
        <f t="shared" ref="C694:I694" si="1147">C693*2*0.55</f>
        <v>32560.000000000004</v>
      </c>
      <c r="D694" s="79">
        <f t="shared" si="1147"/>
        <v>36630</v>
      </c>
      <c r="E694" s="79">
        <f t="shared" si="1147"/>
        <v>40700</v>
      </c>
      <c r="F694" s="79">
        <f t="shared" si="1147"/>
        <v>44000</v>
      </c>
      <c r="G694" s="79">
        <f t="shared" si="1147"/>
        <v>47245.000000000007</v>
      </c>
      <c r="H694" s="79">
        <f t="shared" si="1147"/>
        <v>50490.000000000007</v>
      </c>
      <c r="I694" s="79">
        <f t="shared" si="1147"/>
        <v>53735.000000000007</v>
      </c>
      <c r="J694" s="80">
        <f t="shared" ref="J694:J700" si="1148">TRUNC(B694/12*0.3)</f>
        <v>712</v>
      </c>
      <c r="K694" s="80">
        <f t="shared" ref="K694:K700" si="1149">TRUNC((B694+C694)/2/12*0.3)</f>
        <v>763</v>
      </c>
      <c r="L694" s="80">
        <f t="shared" ref="L694:L700" si="1150">TRUNC((D694)/12*0.3)</f>
        <v>915</v>
      </c>
      <c r="M694" s="80">
        <f t="shared" ref="M694:M700" si="1151">TRUNC(((E694+F694)/2)/12*0.3)</f>
        <v>1058</v>
      </c>
      <c r="N694" s="80">
        <f t="shared" ref="N694:N700" si="1152">TRUNC(G694/12*0.3)</f>
        <v>1181</v>
      </c>
      <c r="O694" s="80">
        <f t="shared" ref="O694:O700" si="1153">TRUNC(((H694+I694)/2)/12*0.3)</f>
        <v>1302</v>
      </c>
      <c r="P694" s="81"/>
      <c r="Q694" s="81"/>
      <c r="R694" s="81"/>
      <c r="S694" s="81"/>
      <c r="T694" s="81"/>
      <c r="U694" s="81"/>
      <c r="V694" s="81"/>
      <c r="W694" s="81"/>
      <c r="X694" s="81"/>
      <c r="Y694" s="81"/>
      <c r="Z694" s="81"/>
      <c r="AA694" s="81"/>
      <c r="AB694" s="81"/>
      <c r="AC694" s="81"/>
      <c r="AD694" s="81"/>
      <c r="AE694" s="81"/>
      <c r="AF694" s="81"/>
    </row>
    <row r="695" spans="1:32">
      <c r="A695" s="76" t="s">
        <v>1429</v>
      </c>
      <c r="B695" s="79">
        <f>B693*2*0.6</f>
        <v>31080</v>
      </c>
      <c r="C695" s="79">
        <f t="shared" ref="C695:I695" si="1154">C693*2*0.6</f>
        <v>35520</v>
      </c>
      <c r="D695" s="79">
        <f t="shared" si="1154"/>
        <v>39960</v>
      </c>
      <c r="E695" s="79">
        <f t="shared" si="1154"/>
        <v>44400</v>
      </c>
      <c r="F695" s="79">
        <f t="shared" si="1154"/>
        <v>48000</v>
      </c>
      <c r="G695" s="79">
        <f t="shared" si="1154"/>
        <v>51540</v>
      </c>
      <c r="H695" s="79">
        <f t="shared" si="1154"/>
        <v>55080</v>
      </c>
      <c r="I695" s="79">
        <f t="shared" si="1154"/>
        <v>58620</v>
      </c>
      <c r="J695" s="80">
        <f t="shared" si="1148"/>
        <v>777</v>
      </c>
      <c r="K695" s="80">
        <f t="shared" si="1149"/>
        <v>832</v>
      </c>
      <c r="L695" s="80">
        <f t="shared" si="1150"/>
        <v>999</v>
      </c>
      <c r="M695" s="80">
        <f t="shared" si="1151"/>
        <v>1155</v>
      </c>
      <c r="N695" s="80">
        <f t="shared" si="1152"/>
        <v>1288</v>
      </c>
      <c r="O695" s="80">
        <f t="shared" si="1153"/>
        <v>1421</v>
      </c>
      <c r="P695" s="81"/>
      <c r="Q695" s="81"/>
      <c r="R695" s="81"/>
      <c r="S695" s="81"/>
      <c r="T695" s="81"/>
      <c r="U695" s="81"/>
      <c r="V695" s="81"/>
      <c r="W695" s="81"/>
      <c r="X695" s="81"/>
      <c r="Y695" s="81"/>
      <c r="Z695" s="81"/>
      <c r="AA695" s="81"/>
      <c r="AB695" s="81"/>
      <c r="AC695" s="81"/>
      <c r="AD695" s="81"/>
      <c r="AE695" s="81"/>
      <c r="AF695" s="81"/>
    </row>
    <row r="696" spans="1:32">
      <c r="A696" s="76" t="s">
        <v>1430</v>
      </c>
      <c r="B696" s="79">
        <f>B693*2*0.65</f>
        <v>33670</v>
      </c>
      <c r="C696" s="79">
        <f t="shared" ref="C696:I696" si="1155">C693*2*0.65</f>
        <v>38480</v>
      </c>
      <c r="D696" s="79">
        <f t="shared" si="1155"/>
        <v>43290</v>
      </c>
      <c r="E696" s="79">
        <f t="shared" si="1155"/>
        <v>48100</v>
      </c>
      <c r="F696" s="79">
        <f t="shared" si="1155"/>
        <v>52000</v>
      </c>
      <c r="G696" s="79">
        <f t="shared" si="1155"/>
        <v>55835</v>
      </c>
      <c r="H696" s="79">
        <f t="shared" si="1155"/>
        <v>59670</v>
      </c>
      <c r="I696" s="79">
        <f t="shared" si="1155"/>
        <v>63505</v>
      </c>
      <c r="J696" s="80">
        <f t="shared" si="1148"/>
        <v>841</v>
      </c>
      <c r="K696" s="80">
        <f t="shared" si="1149"/>
        <v>901</v>
      </c>
      <c r="L696" s="80">
        <f t="shared" si="1150"/>
        <v>1082</v>
      </c>
      <c r="M696" s="80">
        <f t="shared" si="1151"/>
        <v>1251</v>
      </c>
      <c r="N696" s="80">
        <f t="shared" si="1152"/>
        <v>1395</v>
      </c>
      <c r="O696" s="80">
        <f t="shared" si="1153"/>
        <v>1539</v>
      </c>
      <c r="P696" s="81"/>
      <c r="Q696" s="81"/>
      <c r="R696" s="81"/>
      <c r="S696" s="81"/>
      <c r="T696" s="81"/>
      <c r="U696" s="81"/>
      <c r="V696" s="81"/>
      <c r="W696" s="81"/>
      <c r="X696" s="81"/>
      <c r="Y696" s="81"/>
      <c r="Z696" s="81"/>
      <c r="AA696" s="81"/>
      <c r="AB696" s="81"/>
      <c r="AC696" s="81"/>
      <c r="AD696" s="81"/>
      <c r="AE696" s="81"/>
      <c r="AF696" s="81"/>
    </row>
    <row r="697" spans="1:32">
      <c r="A697" s="76" t="s">
        <v>1431</v>
      </c>
      <c r="B697" s="79">
        <f>B693*2*0.7</f>
        <v>36260</v>
      </c>
      <c r="C697" s="79">
        <f t="shared" ref="C697:I697" si="1156">C693*2*0.7</f>
        <v>41440</v>
      </c>
      <c r="D697" s="79">
        <f t="shared" si="1156"/>
        <v>46620</v>
      </c>
      <c r="E697" s="79">
        <f t="shared" si="1156"/>
        <v>51800</v>
      </c>
      <c r="F697" s="79">
        <f t="shared" si="1156"/>
        <v>56000</v>
      </c>
      <c r="G697" s="79">
        <f t="shared" si="1156"/>
        <v>60129.999999999993</v>
      </c>
      <c r="H697" s="79">
        <f t="shared" si="1156"/>
        <v>64259.999999999993</v>
      </c>
      <c r="I697" s="79">
        <f t="shared" si="1156"/>
        <v>68390</v>
      </c>
      <c r="J697" s="80">
        <f t="shared" si="1148"/>
        <v>906</v>
      </c>
      <c r="K697" s="80">
        <f t="shared" si="1149"/>
        <v>971</v>
      </c>
      <c r="L697" s="80">
        <f t="shared" si="1150"/>
        <v>1165</v>
      </c>
      <c r="M697" s="80">
        <f t="shared" si="1151"/>
        <v>1347</v>
      </c>
      <c r="N697" s="80">
        <f t="shared" si="1152"/>
        <v>1503</v>
      </c>
      <c r="O697" s="80">
        <f t="shared" si="1153"/>
        <v>1658</v>
      </c>
      <c r="P697" s="81"/>
      <c r="Q697" s="81"/>
      <c r="R697" s="81"/>
      <c r="S697" s="81"/>
      <c r="T697" s="81"/>
      <c r="U697" s="81"/>
      <c r="V697" s="81"/>
      <c r="W697" s="81"/>
      <c r="X697" s="81"/>
      <c r="Y697" s="81"/>
      <c r="Z697" s="81"/>
      <c r="AA697" s="81"/>
      <c r="AB697" s="81"/>
      <c r="AC697" s="81"/>
      <c r="AD697" s="81"/>
      <c r="AE697" s="81"/>
      <c r="AF697" s="81"/>
    </row>
    <row r="698" spans="1:32">
      <c r="A698" s="76" t="s">
        <v>1432</v>
      </c>
      <c r="B698" s="79">
        <f>B693*2*0.75</f>
        <v>38850</v>
      </c>
      <c r="C698" s="79">
        <f t="shared" ref="C698:I698" si="1157">C693*2*0.75</f>
        <v>44400</v>
      </c>
      <c r="D698" s="79">
        <f t="shared" si="1157"/>
        <v>49950</v>
      </c>
      <c r="E698" s="79">
        <f t="shared" si="1157"/>
        <v>55500</v>
      </c>
      <c r="F698" s="79">
        <f t="shared" si="1157"/>
        <v>60000</v>
      </c>
      <c r="G698" s="79">
        <f t="shared" si="1157"/>
        <v>64425</v>
      </c>
      <c r="H698" s="79">
        <f t="shared" si="1157"/>
        <v>68850</v>
      </c>
      <c r="I698" s="79">
        <f t="shared" si="1157"/>
        <v>73275</v>
      </c>
      <c r="J698" s="80">
        <f t="shared" si="1148"/>
        <v>971</v>
      </c>
      <c r="K698" s="80">
        <f t="shared" si="1149"/>
        <v>1040</v>
      </c>
      <c r="L698" s="80">
        <f t="shared" si="1150"/>
        <v>1248</v>
      </c>
      <c r="M698" s="80">
        <f t="shared" si="1151"/>
        <v>1443</v>
      </c>
      <c r="N698" s="80">
        <f t="shared" si="1152"/>
        <v>1610</v>
      </c>
      <c r="O698" s="80">
        <f t="shared" si="1153"/>
        <v>1776</v>
      </c>
      <c r="P698" s="81"/>
      <c r="Q698" s="81"/>
      <c r="R698" s="81"/>
      <c r="S698" s="81"/>
      <c r="T698" s="81"/>
      <c r="U698" s="81"/>
      <c r="V698" s="81"/>
      <c r="W698" s="81"/>
      <c r="X698" s="81"/>
      <c r="Y698" s="81"/>
      <c r="Z698" s="81"/>
      <c r="AA698" s="81"/>
      <c r="AB698" s="81"/>
      <c r="AC698" s="81"/>
      <c r="AD698" s="81"/>
      <c r="AE698" s="81"/>
      <c r="AF698" s="81"/>
    </row>
    <row r="699" spans="1:32">
      <c r="A699" s="76" t="s">
        <v>1433</v>
      </c>
      <c r="B699" s="79">
        <f>B693*2*0.8</f>
        <v>41440</v>
      </c>
      <c r="C699" s="79">
        <f t="shared" ref="C699:I699" si="1158">C693*2*0.8</f>
        <v>47360</v>
      </c>
      <c r="D699" s="79">
        <f t="shared" si="1158"/>
        <v>53280</v>
      </c>
      <c r="E699" s="79">
        <f t="shared" si="1158"/>
        <v>59200</v>
      </c>
      <c r="F699" s="79">
        <f t="shared" si="1158"/>
        <v>64000</v>
      </c>
      <c r="G699" s="79">
        <f t="shared" si="1158"/>
        <v>68720</v>
      </c>
      <c r="H699" s="79">
        <f t="shared" si="1158"/>
        <v>73440</v>
      </c>
      <c r="I699" s="79">
        <f t="shared" si="1158"/>
        <v>78160</v>
      </c>
      <c r="J699" s="80">
        <f t="shared" si="1148"/>
        <v>1036</v>
      </c>
      <c r="K699" s="80">
        <f t="shared" si="1149"/>
        <v>1110</v>
      </c>
      <c r="L699" s="80">
        <f t="shared" si="1150"/>
        <v>1332</v>
      </c>
      <c r="M699" s="80">
        <f t="shared" si="1151"/>
        <v>1540</v>
      </c>
      <c r="N699" s="80">
        <f t="shared" si="1152"/>
        <v>1718</v>
      </c>
      <c r="O699" s="80">
        <f t="shared" si="1153"/>
        <v>1895</v>
      </c>
      <c r="P699" s="81"/>
      <c r="Q699" s="81"/>
      <c r="R699" s="81"/>
      <c r="S699" s="81"/>
      <c r="T699" s="81"/>
      <c r="U699" s="81"/>
      <c r="V699" s="81"/>
      <c r="W699" s="81"/>
      <c r="X699" s="81"/>
      <c r="Y699" s="81"/>
      <c r="Z699" s="81"/>
      <c r="AA699" s="81"/>
      <c r="AB699" s="81"/>
      <c r="AC699" s="81"/>
      <c r="AD699" s="81"/>
      <c r="AE699" s="81"/>
      <c r="AF699" s="81"/>
    </row>
    <row r="700" spans="1:32">
      <c r="A700" s="76" t="s">
        <v>1434</v>
      </c>
      <c r="B700" s="79">
        <f>B693*2*0.9</f>
        <v>46620</v>
      </c>
      <c r="C700" s="79">
        <f t="shared" ref="C700:I700" si="1159">C693*2*0.9</f>
        <v>53280</v>
      </c>
      <c r="D700" s="79">
        <f t="shared" si="1159"/>
        <v>59940</v>
      </c>
      <c r="E700" s="79">
        <f t="shared" si="1159"/>
        <v>66600</v>
      </c>
      <c r="F700" s="79">
        <f t="shared" si="1159"/>
        <v>72000</v>
      </c>
      <c r="G700" s="79">
        <f t="shared" si="1159"/>
        <v>77310</v>
      </c>
      <c r="H700" s="79">
        <f t="shared" si="1159"/>
        <v>82620</v>
      </c>
      <c r="I700" s="79">
        <f t="shared" si="1159"/>
        <v>87930</v>
      </c>
      <c r="J700" s="80">
        <f t="shared" si="1148"/>
        <v>1165</v>
      </c>
      <c r="K700" s="80">
        <f t="shared" si="1149"/>
        <v>1248</v>
      </c>
      <c r="L700" s="80">
        <f t="shared" si="1150"/>
        <v>1498</v>
      </c>
      <c r="M700" s="80">
        <f t="shared" si="1151"/>
        <v>1732</v>
      </c>
      <c r="N700" s="80">
        <f t="shared" si="1152"/>
        <v>1932</v>
      </c>
      <c r="O700" s="80">
        <f t="shared" si="1153"/>
        <v>2131</v>
      </c>
      <c r="P700" s="81"/>
      <c r="Q700" s="81"/>
      <c r="R700" s="81"/>
      <c r="S700" s="81"/>
      <c r="T700" s="81"/>
      <c r="U700" s="81"/>
      <c r="V700" s="81"/>
      <c r="W700" s="81"/>
      <c r="X700" s="81"/>
      <c r="Y700" s="81"/>
      <c r="Z700" s="81"/>
      <c r="AA700" s="81"/>
      <c r="AB700" s="81"/>
      <c r="AC700" s="81"/>
      <c r="AD700" s="81"/>
      <c r="AE700" s="81"/>
      <c r="AF700" s="81"/>
    </row>
    <row r="701" spans="1:32">
      <c r="A701" s="76" t="s">
        <v>1435</v>
      </c>
      <c r="B701" s="79">
        <f>B693*2</f>
        <v>51800</v>
      </c>
      <c r="C701" s="79">
        <f t="shared" ref="C701:I701" si="1160">C693*2</f>
        <v>59200</v>
      </c>
      <c r="D701" s="79">
        <f t="shared" si="1160"/>
        <v>66600</v>
      </c>
      <c r="E701" s="79">
        <f t="shared" si="1160"/>
        <v>74000</v>
      </c>
      <c r="F701" s="79">
        <f t="shared" si="1160"/>
        <v>80000</v>
      </c>
      <c r="G701" s="79">
        <f t="shared" si="1160"/>
        <v>85900</v>
      </c>
      <c r="H701" s="79">
        <f t="shared" si="1160"/>
        <v>91800</v>
      </c>
      <c r="I701" s="79">
        <f t="shared" si="1160"/>
        <v>97700</v>
      </c>
      <c r="J701" s="80">
        <f>J693*2</f>
        <v>1294</v>
      </c>
      <c r="K701" s="80">
        <f t="shared" ref="K701:O701" si="1161">K693*2</f>
        <v>1386</v>
      </c>
      <c r="L701" s="80">
        <f t="shared" si="1161"/>
        <v>1664</v>
      </c>
      <c r="M701" s="80">
        <f t="shared" si="1161"/>
        <v>1924</v>
      </c>
      <c r="N701" s="80">
        <f t="shared" si="1161"/>
        <v>2146</v>
      </c>
      <c r="O701" s="80">
        <f t="shared" si="1161"/>
        <v>2368</v>
      </c>
      <c r="P701" s="81"/>
      <c r="Q701" s="81"/>
      <c r="R701" s="81"/>
      <c r="S701" s="81"/>
      <c r="T701" s="81"/>
      <c r="U701" s="81"/>
      <c r="V701" s="81"/>
      <c r="W701" s="81"/>
      <c r="X701" s="81"/>
      <c r="Y701" s="81"/>
      <c r="Z701" s="81"/>
      <c r="AA701" s="81"/>
      <c r="AB701" s="81"/>
      <c r="AC701" s="81"/>
      <c r="AD701" s="81"/>
      <c r="AE701" s="81"/>
      <c r="AF701" s="81"/>
    </row>
    <row r="702" spans="1:32">
      <c r="A702" s="76" t="s">
        <v>1436</v>
      </c>
      <c r="B702" s="79">
        <f>B693*2*1.1</f>
        <v>56980.000000000007</v>
      </c>
      <c r="C702" s="79">
        <f t="shared" ref="C702:I702" si="1162">C693*2*1.1</f>
        <v>65120.000000000007</v>
      </c>
      <c r="D702" s="79">
        <f t="shared" si="1162"/>
        <v>73260</v>
      </c>
      <c r="E702" s="79">
        <f t="shared" si="1162"/>
        <v>81400</v>
      </c>
      <c r="F702" s="79">
        <f t="shared" si="1162"/>
        <v>88000</v>
      </c>
      <c r="G702" s="79">
        <f t="shared" si="1162"/>
        <v>94490.000000000015</v>
      </c>
      <c r="H702" s="79">
        <f t="shared" si="1162"/>
        <v>100980.00000000001</v>
      </c>
      <c r="I702" s="79">
        <f t="shared" si="1162"/>
        <v>107470.00000000001</v>
      </c>
      <c r="J702" s="80">
        <f t="shared" ref="J702:J710" si="1163">TRUNC(B702/12*0.3)</f>
        <v>1424</v>
      </c>
      <c r="K702" s="80">
        <f t="shared" ref="K702:K710" si="1164">TRUNC((B702+C702)/2/12*0.3)</f>
        <v>1526</v>
      </c>
      <c r="L702" s="80">
        <f t="shared" ref="L702:L710" si="1165">TRUNC((D702)/12*0.3)</f>
        <v>1831</v>
      </c>
      <c r="M702" s="80">
        <f t="shared" ref="M702:M710" si="1166">TRUNC(((E702+F702)/2)/12*0.3)</f>
        <v>2117</v>
      </c>
      <c r="N702" s="80">
        <f t="shared" ref="N702:N710" si="1167">TRUNC(G702/12*0.3)</f>
        <v>2362</v>
      </c>
      <c r="O702" s="80">
        <f t="shared" ref="O702:O710" si="1168">TRUNC(((H702+I702)/2)/12*0.3)</f>
        <v>2605</v>
      </c>
      <c r="P702" s="81"/>
      <c r="Q702" s="81"/>
      <c r="R702" s="81"/>
      <c r="S702" s="81"/>
      <c r="T702" s="81"/>
      <c r="U702" s="81"/>
      <c r="V702" s="81"/>
      <c r="W702" s="81"/>
      <c r="X702" s="81"/>
      <c r="Y702" s="81"/>
      <c r="Z702" s="81"/>
      <c r="AA702" s="81"/>
      <c r="AB702" s="81"/>
      <c r="AC702" s="81"/>
      <c r="AD702" s="81"/>
      <c r="AE702" s="81"/>
      <c r="AF702" s="81"/>
    </row>
    <row r="703" spans="1:32">
      <c r="A703" s="76" t="s">
        <v>1437</v>
      </c>
      <c r="B703" s="79">
        <f>B693*2*1.2</f>
        <v>62160</v>
      </c>
      <c r="C703" s="79">
        <f t="shared" ref="C703:I703" si="1169">C693*2*1.2</f>
        <v>71040</v>
      </c>
      <c r="D703" s="79">
        <f t="shared" si="1169"/>
        <v>79920</v>
      </c>
      <c r="E703" s="79">
        <f t="shared" si="1169"/>
        <v>88800</v>
      </c>
      <c r="F703" s="79">
        <f t="shared" si="1169"/>
        <v>96000</v>
      </c>
      <c r="G703" s="79">
        <f t="shared" si="1169"/>
        <v>103080</v>
      </c>
      <c r="H703" s="79">
        <f t="shared" si="1169"/>
        <v>110160</v>
      </c>
      <c r="I703" s="79">
        <f t="shared" si="1169"/>
        <v>117240</v>
      </c>
      <c r="J703" s="80">
        <f t="shared" si="1163"/>
        <v>1554</v>
      </c>
      <c r="K703" s="80">
        <f t="shared" si="1164"/>
        <v>1665</v>
      </c>
      <c r="L703" s="80">
        <f t="shared" si="1165"/>
        <v>1998</v>
      </c>
      <c r="M703" s="80">
        <f t="shared" si="1166"/>
        <v>2310</v>
      </c>
      <c r="N703" s="80">
        <f t="shared" si="1167"/>
        <v>2577</v>
      </c>
      <c r="O703" s="80">
        <f t="shared" si="1168"/>
        <v>2842</v>
      </c>
      <c r="P703" s="81"/>
      <c r="Q703" s="81"/>
      <c r="R703" s="81"/>
      <c r="S703" s="81"/>
      <c r="T703" s="81"/>
      <c r="U703" s="81"/>
      <c r="V703" s="81"/>
      <c r="W703" s="81"/>
      <c r="X703" s="81"/>
      <c r="Y703" s="81"/>
      <c r="Z703" s="81"/>
      <c r="AA703" s="81"/>
      <c r="AB703" s="81"/>
      <c r="AC703" s="81"/>
      <c r="AD703" s="81"/>
      <c r="AE703" s="81"/>
      <c r="AF703" s="81"/>
    </row>
    <row r="704" spans="1:32">
      <c r="A704" s="76" t="s">
        <v>1438</v>
      </c>
      <c r="B704" s="79">
        <f>B711*2*0.15</f>
        <v>10275</v>
      </c>
      <c r="C704" s="79">
        <f>C711*2*0.15</f>
        <v>11745</v>
      </c>
      <c r="D704" s="79">
        <f>D711*2*0.15</f>
        <v>13215</v>
      </c>
      <c r="E704" s="79">
        <f>E711*2*0.15</f>
        <v>14670</v>
      </c>
      <c r="F704" s="79">
        <f>F711*2*0.15</f>
        <v>15855</v>
      </c>
      <c r="G704" s="79">
        <f t="shared" ref="G704:I704" si="1170">G711*2*0.15</f>
        <v>17025</v>
      </c>
      <c r="H704" s="79">
        <f t="shared" si="1170"/>
        <v>18195</v>
      </c>
      <c r="I704" s="79">
        <f t="shared" si="1170"/>
        <v>19365</v>
      </c>
      <c r="J704" s="80">
        <f t="shared" si="1163"/>
        <v>256</v>
      </c>
      <c r="K704" s="80">
        <f t="shared" si="1164"/>
        <v>275</v>
      </c>
      <c r="L704" s="80">
        <f t="shared" si="1165"/>
        <v>330</v>
      </c>
      <c r="M704" s="80">
        <f t="shared" si="1166"/>
        <v>381</v>
      </c>
      <c r="N704" s="80">
        <f t="shared" si="1167"/>
        <v>425</v>
      </c>
      <c r="O704" s="80">
        <f t="shared" si="1168"/>
        <v>469</v>
      </c>
      <c r="P704" s="81"/>
      <c r="Q704" s="81"/>
      <c r="R704" s="81"/>
      <c r="S704" s="81"/>
      <c r="T704" s="81"/>
      <c r="U704" s="81"/>
      <c r="V704" s="81"/>
      <c r="W704" s="81"/>
      <c r="X704" s="81"/>
      <c r="Y704" s="81"/>
      <c r="Z704" s="81"/>
      <c r="AA704" s="81"/>
      <c r="AB704" s="81"/>
      <c r="AC704" s="81"/>
      <c r="AD704" s="81"/>
      <c r="AE704" s="81"/>
      <c r="AF704" s="81"/>
    </row>
    <row r="705" spans="1:32">
      <c r="A705" s="76" t="s">
        <v>1439</v>
      </c>
      <c r="B705" s="79">
        <f>B711*2*0.2</f>
        <v>13700</v>
      </c>
      <c r="C705" s="79">
        <f t="shared" ref="C705:I705" si="1171">C711*2*0.2</f>
        <v>15660</v>
      </c>
      <c r="D705" s="79">
        <f t="shared" si="1171"/>
        <v>17620</v>
      </c>
      <c r="E705" s="79">
        <f t="shared" si="1171"/>
        <v>19560</v>
      </c>
      <c r="F705" s="79">
        <f t="shared" si="1171"/>
        <v>21140</v>
      </c>
      <c r="G705" s="79">
        <f t="shared" si="1171"/>
        <v>22700</v>
      </c>
      <c r="H705" s="79">
        <f t="shared" si="1171"/>
        <v>24260</v>
      </c>
      <c r="I705" s="79">
        <f t="shared" si="1171"/>
        <v>25820</v>
      </c>
      <c r="J705" s="80">
        <f t="shared" si="1163"/>
        <v>342</v>
      </c>
      <c r="K705" s="80">
        <f t="shared" si="1164"/>
        <v>367</v>
      </c>
      <c r="L705" s="80">
        <f t="shared" si="1165"/>
        <v>440</v>
      </c>
      <c r="M705" s="80">
        <f t="shared" si="1166"/>
        <v>508</v>
      </c>
      <c r="N705" s="80">
        <f t="shared" si="1167"/>
        <v>567</v>
      </c>
      <c r="O705" s="80">
        <f t="shared" si="1168"/>
        <v>626</v>
      </c>
      <c r="P705" s="81"/>
      <c r="Q705" s="81"/>
      <c r="R705" s="81"/>
      <c r="S705" s="81"/>
      <c r="T705" s="81"/>
      <c r="U705" s="81"/>
      <c r="V705" s="81"/>
      <c r="W705" s="81"/>
      <c r="X705" s="81"/>
      <c r="Y705" s="81"/>
      <c r="Z705" s="81"/>
      <c r="AA705" s="81"/>
      <c r="AB705" s="81"/>
      <c r="AC705" s="81"/>
      <c r="AD705" s="81"/>
      <c r="AE705" s="81"/>
      <c r="AF705" s="81"/>
    </row>
    <row r="706" spans="1:32">
      <c r="A706" s="76" t="s">
        <v>1440</v>
      </c>
      <c r="B706" s="79">
        <f>B711*2*0.25</f>
        <v>17125</v>
      </c>
      <c r="C706" s="79">
        <f t="shared" ref="C706:I706" si="1172">C711*2*0.25</f>
        <v>19575</v>
      </c>
      <c r="D706" s="79">
        <f t="shared" si="1172"/>
        <v>22025</v>
      </c>
      <c r="E706" s="79">
        <f t="shared" si="1172"/>
        <v>24450</v>
      </c>
      <c r="F706" s="79">
        <f t="shared" si="1172"/>
        <v>26425</v>
      </c>
      <c r="G706" s="79">
        <f t="shared" si="1172"/>
        <v>28375</v>
      </c>
      <c r="H706" s="79">
        <f t="shared" si="1172"/>
        <v>30325</v>
      </c>
      <c r="I706" s="79">
        <f t="shared" si="1172"/>
        <v>32275</v>
      </c>
      <c r="J706" s="80">
        <f t="shared" si="1163"/>
        <v>428</v>
      </c>
      <c r="K706" s="80">
        <f t="shared" si="1164"/>
        <v>458</v>
      </c>
      <c r="L706" s="80">
        <f t="shared" si="1165"/>
        <v>550</v>
      </c>
      <c r="M706" s="80">
        <f t="shared" si="1166"/>
        <v>635</v>
      </c>
      <c r="N706" s="80">
        <f t="shared" si="1167"/>
        <v>709</v>
      </c>
      <c r="O706" s="80">
        <f t="shared" si="1168"/>
        <v>782</v>
      </c>
      <c r="P706" s="81"/>
      <c r="Q706" s="81"/>
      <c r="R706" s="81"/>
      <c r="S706" s="81"/>
      <c r="T706" s="81"/>
      <c r="U706" s="81"/>
      <c r="V706" s="81"/>
      <c r="W706" s="81"/>
      <c r="X706" s="81"/>
      <c r="Y706" s="81"/>
      <c r="Z706" s="81"/>
      <c r="AA706" s="81"/>
      <c r="AB706" s="81"/>
      <c r="AC706" s="81"/>
      <c r="AD706" s="81"/>
      <c r="AE706" s="81"/>
      <c r="AF706" s="81"/>
    </row>
    <row r="707" spans="1:32">
      <c r="A707" s="76" t="s">
        <v>1441</v>
      </c>
      <c r="B707" s="79">
        <f>B711*2*0.3</f>
        <v>20550</v>
      </c>
      <c r="C707" s="79">
        <f t="shared" ref="C707:I707" si="1173">C711*2*0.3</f>
        <v>23490</v>
      </c>
      <c r="D707" s="79">
        <f t="shared" si="1173"/>
        <v>26430</v>
      </c>
      <c r="E707" s="79">
        <f t="shared" si="1173"/>
        <v>29340</v>
      </c>
      <c r="F707" s="79">
        <f t="shared" si="1173"/>
        <v>31710</v>
      </c>
      <c r="G707" s="79">
        <f t="shared" si="1173"/>
        <v>34050</v>
      </c>
      <c r="H707" s="79">
        <f t="shared" si="1173"/>
        <v>36390</v>
      </c>
      <c r="I707" s="79">
        <f t="shared" si="1173"/>
        <v>38730</v>
      </c>
      <c r="J707" s="80">
        <f t="shared" si="1163"/>
        <v>513</v>
      </c>
      <c r="K707" s="80">
        <f t="shared" si="1164"/>
        <v>550</v>
      </c>
      <c r="L707" s="80">
        <f t="shared" si="1165"/>
        <v>660</v>
      </c>
      <c r="M707" s="80">
        <f t="shared" si="1166"/>
        <v>763</v>
      </c>
      <c r="N707" s="80">
        <f t="shared" si="1167"/>
        <v>851</v>
      </c>
      <c r="O707" s="80">
        <f t="shared" si="1168"/>
        <v>939</v>
      </c>
      <c r="P707" s="81"/>
      <c r="Q707" s="81"/>
      <c r="R707" s="81"/>
      <c r="S707" s="81"/>
      <c r="T707" s="81"/>
      <c r="U707" s="81"/>
      <c r="V707" s="81"/>
      <c r="W707" s="81"/>
      <c r="X707" s="81"/>
      <c r="Y707" s="81"/>
      <c r="Z707" s="81"/>
      <c r="AA707" s="81"/>
      <c r="AB707" s="81"/>
      <c r="AC707" s="81"/>
      <c r="AD707" s="81"/>
      <c r="AE707" s="81"/>
      <c r="AF707" s="81"/>
    </row>
    <row r="708" spans="1:32">
      <c r="A708" s="76" t="s">
        <v>1442</v>
      </c>
      <c r="B708" s="79">
        <f>B711*2*0.35</f>
        <v>23975</v>
      </c>
      <c r="C708" s="79">
        <f t="shared" ref="C708:I708" si="1174">C711*2*0.35</f>
        <v>27405</v>
      </c>
      <c r="D708" s="79">
        <f t="shared" si="1174"/>
        <v>30834.999999999996</v>
      </c>
      <c r="E708" s="79">
        <f t="shared" si="1174"/>
        <v>34230</v>
      </c>
      <c r="F708" s="79">
        <f t="shared" si="1174"/>
        <v>36995</v>
      </c>
      <c r="G708" s="79">
        <f t="shared" si="1174"/>
        <v>39725</v>
      </c>
      <c r="H708" s="79">
        <f t="shared" si="1174"/>
        <v>42455</v>
      </c>
      <c r="I708" s="79">
        <f t="shared" si="1174"/>
        <v>45185</v>
      </c>
      <c r="J708" s="80">
        <f t="shared" si="1163"/>
        <v>599</v>
      </c>
      <c r="K708" s="80">
        <f t="shared" si="1164"/>
        <v>642</v>
      </c>
      <c r="L708" s="80">
        <f t="shared" si="1165"/>
        <v>770</v>
      </c>
      <c r="M708" s="80">
        <f t="shared" si="1166"/>
        <v>890</v>
      </c>
      <c r="N708" s="80">
        <f t="shared" si="1167"/>
        <v>993</v>
      </c>
      <c r="O708" s="80">
        <f t="shared" si="1168"/>
        <v>1095</v>
      </c>
      <c r="P708" s="81"/>
      <c r="Q708" s="81"/>
      <c r="R708" s="81"/>
      <c r="S708" s="81"/>
      <c r="T708" s="81"/>
      <c r="U708" s="81"/>
      <c r="V708" s="81"/>
      <c r="W708" s="81"/>
      <c r="X708" s="81"/>
      <c r="Y708" s="81"/>
      <c r="Z708" s="81"/>
      <c r="AA708" s="81"/>
      <c r="AB708" s="81"/>
      <c r="AC708" s="81"/>
      <c r="AD708" s="81"/>
      <c r="AE708" s="81"/>
      <c r="AF708" s="81"/>
    </row>
    <row r="709" spans="1:32">
      <c r="A709" s="76" t="s">
        <v>1443</v>
      </c>
      <c r="B709" s="79">
        <f>B711*2*0.4</f>
        <v>27400</v>
      </c>
      <c r="C709" s="79">
        <f t="shared" ref="C709:I709" si="1175">C711*2*0.4</f>
        <v>31320</v>
      </c>
      <c r="D709" s="79">
        <f t="shared" si="1175"/>
        <v>35240</v>
      </c>
      <c r="E709" s="79">
        <f t="shared" si="1175"/>
        <v>39120</v>
      </c>
      <c r="F709" s="79">
        <f t="shared" si="1175"/>
        <v>42280</v>
      </c>
      <c r="G709" s="79">
        <f t="shared" si="1175"/>
        <v>45400</v>
      </c>
      <c r="H709" s="79">
        <f t="shared" si="1175"/>
        <v>48520</v>
      </c>
      <c r="I709" s="79">
        <f t="shared" si="1175"/>
        <v>51640</v>
      </c>
      <c r="J709" s="80">
        <f t="shared" si="1163"/>
        <v>685</v>
      </c>
      <c r="K709" s="80">
        <f t="shared" si="1164"/>
        <v>734</v>
      </c>
      <c r="L709" s="80">
        <f t="shared" si="1165"/>
        <v>881</v>
      </c>
      <c r="M709" s="80">
        <f t="shared" si="1166"/>
        <v>1017</v>
      </c>
      <c r="N709" s="80">
        <f t="shared" si="1167"/>
        <v>1135</v>
      </c>
      <c r="O709" s="80">
        <f t="shared" si="1168"/>
        <v>1252</v>
      </c>
      <c r="P709" s="81"/>
      <c r="Q709" s="81"/>
      <c r="R709" s="81"/>
      <c r="S709" s="81"/>
      <c r="T709" s="81"/>
      <c r="U709" s="81"/>
      <c r="V709" s="81"/>
      <c r="W709" s="81"/>
      <c r="X709" s="81"/>
      <c r="Y709" s="81"/>
      <c r="Z709" s="81"/>
      <c r="AA709" s="81"/>
      <c r="AB709" s="81"/>
      <c r="AC709" s="81"/>
      <c r="AD709" s="81"/>
      <c r="AE709" s="81"/>
      <c r="AF709" s="81"/>
    </row>
    <row r="710" spans="1:32">
      <c r="A710" s="76" t="s">
        <v>1444</v>
      </c>
      <c r="B710" s="79">
        <f>B711*2*0.45</f>
        <v>30825</v>
      </c>
      <c r="C710" s="79">
        <f t="shared" ref="C710:I710" si="1176">C711*2*0.45</f>
        <v>35235</v>
      </c>
      <c r="D710" s="79">
        <f t="shared" si="1176"/>
        <v>39645</v>
      </c>
      <c r="E710" s="79">
        <f t="shared" si="1176"/>
        <v>44010</v>
      </c>
      <c r="F710" s="79">
        <f t="shared" si="1176"/>
        <v>47565</v>
      </c>
      <c r="G710" s="79">
        <f t="shared" si="1176"/>
        <v>51075</v>
      </c>
      <c r="H710" s="79">
        <f t="shared" si="1176"/>
        <v>54585</v>
      </c>
      <c r="I710" s="79">
        <f t="shared" si="1176"/>
        <v>58095</v>
      </c>
      <c r="J710" s="80">
        <f t="shared" si="1163"/>
        <v>770</v>
      </c>
      <c r="K710" s="80">
        <f t="shared" si="1164"/>
        <v>825</v>
      </c>
      <c r="L710" s="80">
        <f t="shared" si="1165"/>
        <v>991</v>
      </c>
      <c r="M710" s="80">
        <f t="shared" si="1166"/>
        <v>1144</v>
      </c>
      <c r="N710" s="80">
        <f t="shared" si="1167"/>
        <v>1276</v>
      </c>
      <c r="O710" s="80">
        <f t="shared" si="1168"/>
        <v>1408</v>
      </c>
      <c r="P710" s="81"/>
      <c r="Q710" s="81"/>
      <c r="R710" s="81"/>
      <c r="S710" s="81"/>
      <c r="T710" s="81"/>
      <c r="U710" s="81"/>
      <c r="V710" s="81"/>
      <c r="W710" s="81"/>
      <c r="X710" s="81"/>
      <c r="Y710" s="81"/>
      <c r="Z710" s="81"/>
      <c r="AA710" s="81"/>
      <c r="AB710" s="81"/>
      <c r="AC710" s="81"/>
      <c r="AD710" s="81"/>
      <c r="AE710" s="81"/>
      <c r="AF710" s="81"/>
    </row>
    <row r="711" spans="1:32">
      <c r="A711" s="82" t="s">
        <v>1445</v>
      </c>
      <c r="B711" s="84">
        <f>'MTSP 50% Income Limits '!B41</f>
        <v>34250</v>
      </c>
      <c r="C711" s="84">
        <f>'MTSP 50% Income Limits '!C41</f>
        <v>39150</v>
      </c>
      <c r="D711" s="84">
        <f>'MTSP 50% Income Limits '!D41</f>
        <v>44050</v>
      </c>
      <c r="E711" s="84">
        <f>'MTSP 50% Income Limits '!E41</f>
        <v>48900</v>
      </c>
      <c r="F711" s="84">
        <f>'MTSP 50% Income Limits '!F41</f>
        <v>52850</v>
      </c>
      <c r="G711" s="84">
        <f>'MTSP 50% Income Limits '!G41</f>
        <v>56750</v>
      </c>
      <c r="H711" s="84">
        <f>'MTSP 50% Income Limits '!H41</f>
        <v>60650</v>
      </c>
      <c r="I711" s="84">
        <f>'MTSP 50% Income Limits '!I41</f>
        <v>64550</v>
      </c>
      <c r="J711" s="83">
        <f>TRUNC(B711/12*0.3)</f>
        <v>856</v>
      </c>
      <c r="K711" s="83">
        <f>TRUNC((B711+C711)/2/12*0.3)</f>
        <v>917</v>
      </c>
      <c r="L711" s="83">
        <f>TRUNC((D711)/12*0.3)</f>
        <v>1101</v>
      </c>
      <c r="M711" s="83">
        <f>TRUNC(((E711+F711)/2)/12*0.3)</f>
        <v>1271</v>
      </c>
      <c r="N711" s="83">
        <f>TRUNC(G711/12*0.3)</f>
        <v>1418</v>
      </c>
      <c r="O711" s="83">
        <f>TRUNC(((H711+I711)/2)/12*0.3)</f>
        <v>1565</v>
      </c>
      <c r="P711" s="81"/>
      <c r="Q711" s="81"/>
      <c r="R711" s="81"/>
      <c r="S711" s="81"/>
      <c r="T711" s="81"/>
      <c r="U711" s="81"/>
      <c r="V711" s="81"/>
      <c r="W711" s="81"/>
      <c r="X711" s="81"/>
      <c r="Y711" s="81"/>
      <c r="Z711" s="81"/>
      <c r="AA711" s="81"/>
      <c r="AB711" s="81"/>
      <c r="AC711" s="81"/>
      <c r="AD711" s="81"/>
      <c r="AE711" s="81"/>
      <c r="AF711" s="81"/>
    </row>
    <row r="712" spans="1:32">
      <c r="A712" s="76" t="s">
        <v>1446</v>
      </c>
      <c r="B712" s="79">
        <f>B711*2*0.55</f>
        <v>37675</v>
      </c>
      <c r="C712" s="79">
        <f t="shared" ref="C712:I712" si="1177">C711*2*0.55</f>
        <v>43065</v>
      </c>
      <c r="D712" s="79">
        <f t="shared" si="1177"/>
        <v>48455.000000000007</v>
      </c>
      <c r="E712" s="79">
        <f t="shared" si="1177"/>
        <v>53790.000000000007</v>
      </c>
      <c r="F712" s="79">
        <f t="shared" si="1177"/>
        <v>58135.000000000007</v>
      </c>
      <c r="G712" s="79">
        <f t="shared" si="1177"/>
        <v>62425.000000000007</v>
      </c>
      <c r="H712" s="79">
        <f t="shared" si="1177"/>
        <v>66715</v>
      </c>
      <c r="I712" s="79">
        <f t="shared" si="1177"/>
        <v>71005</v>
      </c>
      <c r="J712" s="80">
        <f t="shared" ref="J712:J718" si="1178">TRUNC(B712/12*0.3)</f>
        <v>941</v>
      </c>
      <c r="K712" s="80">
        <f t="shared" ref="K712:K718" si="1179">TRUNC((B712+C712)/2/12*0.3)</f>
        <v>1009</v>
      </c>
      <c r="L712" s="80">
        <f t="shared" ref="L712:L718" si="1180">TRUNC((D712)/12*0.3)</f>
        <v>1211</v>
      </c>
      <c r="M712" s="80">
        <f t="shared" ref="M712:M718" si="1181">TRUNC(((E712+F712)/2)/12*0.3)</f>
        <v>1399</v>
      </c>
      <c r="N712" s="80">
        <f t="shared" ref="N712:N718" si="1182">TRUNC(G712/12*0.3)</f>
        <v>1560</v>
      </c>
      <c r="O712" s="80">
        <f t="shared" ref="O712:O718" si="1183">TRUNC(((H712+I712)/2)/12*0.3)</f>
        <v>1721</v>
      </c>
      <c r="P712" s="81"/>
      <c r="Q712" s="81"/>
      <c r="R712" s="81"/>
      <c r="S712" s="81"/>
      <c r="T712" s="81"/>
      <c r="U712" s="81"/>
      <c r="V712" s="81"/>
      <c r="W712" s="81"/>
      <c r="X712" s="81"/>
      <c r="Y712" s="81"/>
      <c r="Z712" s="81"/>
      <c r="AA712" s="81"/>
      <c r="AB712" s="81"/>
      <c r="AC712" s="81"/>
      <c r="AD712" s="81"/>
      <c r="AE712" s="81"/>
      <c r="AF712" s="81"/>
    </row>
    <row r="713" spans="1:32">
      <c r="A713" s="76" t="s">
        <v>1447</v>
      </c>
      <c r="B713" s="79">
        <f>B711*2*0.6</f>
        <v>41100</v>
      </c>
      <c r="C713" s="79">
        <f t="shared" ref="C713:I713" si="1184">C711*2*0.6</f>
        <v>46980</v>
      </c>
      <c r="D713" s="79">
        <f t="shared" si="1184"/>
        <v>52860</v>
      </c>
      <c r="E713" s="79">
        <f t="shared" si="1184"/>
        <v>58680</v>
      </c>
      <c r="F713" s="79">
        <f t="shared" si="1184"/>
        <v>63420</v>
      </c>
      <c r="G713" s="79">
        <f t="shared" si="1184"/>
        <v>68100</v>
      </c>
      <c r="H713" s="79">
        <f t="shared" si="1184"/>
        <v>72780</v>
      </c>
      <c r="I713" s="79">
        <f t="shared" si="1184"/>
        <v>77460</v>
      </c>
      <c r="J713" s="80">
        <f t="shared" si="1178"/>
        <v>1027</v>
      </c>
      <c r="K713" s="80">
        <f t="shared" si="1179"/>
        <v>1101</v>
      </c>
      <c r="L713" s="80">
        <f t="shared" si="1180"/>
        <v>1321</v>
      </c>
      <c r="M713" s="80">
        <f t="shared" si="1181"/>
        <v>1526</v>
      </c>
      <c r="N713" s="80">
        <f t="shared" si="1182"/>
        <v>1702</v>
      </c>
      <c r="O713" s="80">
        <f t="shared" si="1183"/>
        <v>1878</v>
      </c>
      <c r="P713" s="81"/>
      <c r="Q713" s="81"/>
      <c r="R713" s="81"/>
      <c r="S713" s="81"/>
      <c r="T713" s="81"/>
      <c r="U713" s="81"/>
      <c r="V713" s="81"/>
      <c r="W713" s="81"/>
      <c r="X713" s="81"/>
      <c r="Y713" s="81"/>
      <c r="Z713" s="81"/>
      <c r="AA713" s="81"/>
      <c r="AB713" s="81"/>
      <c r="AC713" s="81"/>
      <c r="AD713" s="81"/>
      <c r="AE713" s="81"/>
      <c r="AF713" s="81"/>
    </row>
    <row r="714" spans="1:32">
      <c r="A714" s="76" t="s">
        <v>1448</v>
      </c>
      <c r="B714" s="79">
        <f>B711*2*0.65</f>
        <v>44525</v>
      </c>
      <c r="C714" s="79">
        <f t="shared" ref="C714:I714" si="1185">C711*2*0.65</f>
        <v>50895</v>
      </c>
      <c r="D714" s="79">
        <f t="shared" si="1185"/>
        <v>57265</v>
      </c>
      <c r="E714" s="79">
        <f t="shared" si="1185"/>
        <v>63570</v>
      </c>
      <c r="F714" s="79">
        <f t="shared" si="1185"/>
        <v>68705</v>
      </c>
      <c r="G714" s="79">
        <f t="shared" si="1185"/>
        <v>73775</v>
      </c>
      <c r="H714" s="79">
        <f t="shared" si="1185"/>
        <v>78845</v>
      </c>
      <c r="I714" s="79">
        <f t="shared" si="1185"/>
        <v>83915</v>
      </c>
      <c r="J714" s="80">
        <f t="shared" si="1178"/>
        <v>1113</v>
      </c>
      <c r="K714" s="80">
        <f t="shared" si="1179"/>
        <v>1192</v>
      </c>
      <c r="L714" s="80">
        <f t="shared" si="1180"/>
        <v>1431</v>
      </c>
      <c r="M714" s="80">
        <f t="shared" si="1181"/>
        <v>1653</v>
      </c>
      <c r="N714" s="80">
        <f t="shared" si="1182"/>
        <v>1844</v>
      </c>
      <c r="O714" s="80">
        <f t="shared" si="1183"/>
        <v>2034</v>
      </c>
      <c r="P714" s="81"/>
      <c r="Q714" s="81"/>
      <c r="R714" s="81"/>
      <c r="S714" s="81"/>
      <c r="T714" s="81"/>
      <c r="U714" s="81"/>
      <c r="V714" s="81"/>
      <c r="W714" s="81"/>
      <c r="X714" s="81"/>
      <c r="Y714" s="81"/>
      <c r="Z714" s="81"/>
      <c r="AA714" s="81"/>
      <c r="AB714" s="81"/>
      <c r="AC714" s="81"/>
      <c r="AD714" s="81"/>
      <c r="AE714" s="81"/>
      <c r="AF714" s="81"/>
    </row>
    <row r="715" spans="1:32">
      <c r="A715" s="76" t="s">
        <v>1449</v>
      </c>
      <c r="B715" s="79">
        <f>B711*2*0.7</f>
        <v>47950</v>
      </c>
      <c r="C715" s="79">
        <f t="shared" ref="C715:I715" si="1186">C711*2*0.7</f>
        <v>54810</v>
      </c>
      <c r="D715" s="79">
        <f t="shared" si="1186"/>
        <v>61669.999999999993</v>
      </c>
      <c r="E715" s="79">
        <f t="shared" si="1186"/>
        <v>68460</v>
      </c>
      <c r="F715" s="79">
        <f t="shared" si="1186"/>
        <v>73990</v>
      </c>
      <c r="G715" s="79">
        <f t="shared" si="1186"/>
        <v>79450</v>
      </c>
      <c r="H715" s="79">
        <f t="shared" si="1186"/>
        <v>84910</v>
      </c>
      <c r="I715" s="79">
        <f t="shared" si="1186"/>
        <v>90370</v>
      </c>
      <c r="J715" s="80">
        <f t="shared" si="1178"/>
        <v>1198</v>
      </c>
      <c r="K715" s="80">
        <f t="shared" si="1179"/>
        <v>1284</v>
      </c>
      <c r="L715" s="80">
        <f t="shared" si="1180"/>
        <v>1541</v>
      </c>
      <c r="M715" s="80">
        <f t="shared" si="1181"/>
        <v>1780</v>
      </c>
      <c r="N715" s="80">
        <f t="shared" si="1182"/>
        <v>1986</v>
      </c>
      <c r="O715" s="80">
        <f t="shared" si="1183"/>
        <v>2191</v>
      </c>
      <c r="P715" s="81"/>
      <c r="Q715" s="81"/>
      <c r="R715" s="81"/>
      <c r="S715" s="81"/>
      <c r="T715" s="81"/>
      <c r="U715" s="81"/>
      <c r="V715" s="81"/>
      <c r="W715" s="81"/>
      <c r="X715" s="81"/>
      <c r="Y715" s="81"/>
      <c r="Z715" s="81"/>
      <c r="AA715" s="81"/>
      <c r="AB715" s="81"/>
      <c r="AC715" s="81"/>
      <c r="AD715" s="81"/>
      <c r="AE715" s="81"/>
      <c r="AF715" s="81"/>
    </row>
    <row r="716" spans="1:32">
      <c r="A716" s="76" t="s">
        <v>1450</v>
      </c>
      <c r="B716" s="79">
        <f>B711*2*0.75</f>
        <v>51375</v>
      </c>
      <c r="C716" s="79">
        <f t="shared" ref="C716:I716" si="1187">C711*2*0.75</f>
        <v>58725</v>
      </c>
      <c r="D716" s="79">
        <f t="shared" si="1187"/>
        <v>66075</v>
      </c>
      <c r="E716" s="79">
        <f t="shared" si="1187"/>
        <v>73350</v>
      </c>
      <c r="F716" s="79">
        <f t="shared" si="1187"/>
        <v>79275</v>
      </c>
      <c r="G716" s="79">
        <f t="shared" si="1187"/>
        <v>85125</v>
      </c>
      <c r="H716" s="79">
        <f t="shared" si="1187"/>
        <v>90975</v>
      </c>
      <c r="I716" s="79">
        <f t="shared" si="1187"/>
        <v>96825</v>
      </c>
      <c r="J716" s="80">
        <f t="shared" si="1178"/>
        <v>1284</v>
      </c>
      <c r="K716" s="80">
        <f t="shared" si="1179"/>
        <v>1376</v>
      </c>
      <c r="L716" s="80">
        <f t="shared" si="1180"/>
        <v>1651</v>
      </c>
      <c r="M716" s="80">
        <f t="shared" si="1181"/>
        <v>1907</v>
      </c>
      <c r="N716" s="80">
        <f t="shared" si="1182"/>
        <v>2128</v>
      </c>
      <c r="O716" s="80">
        <f t="shared" si="1183"/>
        <v>2347</v>
      </c>
      <c r="P716" s="81"/>
      <c r="Q716" s="81"/>
      <c r="R716" s="81"/>
      <c r="S716" s="81"/>
      <c r="T716" s="81"/>
      <c r="U716" s="81"/>
      <c r="V716" s="81"/>
      <c r="W716" s="81"/>
      <c r="X716" s="81"/>
      <c r="Y716" s="81"/>
      <c r="Z716" s="81"/>
      <c r="AA716" s="81"/>
      <c r="AB716" s="81"/>
      <c r="AC716" s="81"/>
      <c r="AD716" s="81"/>
      <c r="AE716" s="81"/>
      <c r="AF716" s="81"/>
    </row>
    <row r="717" spans="1:32">
      <c r="A717" s="76" t="s">
        <v>1451</v>
      </c>
      <c r="B717" s="79">
        <f>B711*2*0.8</f>
        <v>54800</v>
      </c>
      <c r="C717" s="79">
        <f t="shared" ref="C717:I717" si="1188">C711*2*0.8</f>
        <v>62640</v>
      </c>
      <c r="D717" s="79">
        <f t="shared" si="1188"/>
        <v>70480</v>
      </c>
      <c r="E717" s="79">
        <f t="shared" si="1188"/>
        <v>78240</v>
      </c>
      <c r="F717" s="79">
        <f t="shared" si="1188"/>
        <v>84560</v>
      </c>
      <c r="G717" s="79">
        <f t="shared" si="1188"/>
        <v>90800</v>
      </c>
      <c r="H717" s="79">
        <f t="shared" si="1188"/>
        <v>97040</v>
      </c>
      <c r="I717" s="79">
        <f t="shared" si="1188"/>
        <v>103280</v>
      </c>
      <c r="J717" s="80">
        <f t="shared" si="1178"/>
        <v>1370</v>
      </c>
      <c r="K717" s="80">
        <f t="shared" si="1179"/>
        <v>1468</v>
      </c>
      <c r="L717" s="80">
        <f t="shared" si="1180"/>
        <v>1762</v>
      </c>
      <c r="M717" s="80">
        <f t="shared" si="1181"/>
        <v>2035</v>
      </c>
      <c r="N717" s="80">
        <f t="shared" si="1182"/>
        <v>2270</v>
      </c>
      <c r="O717" s="80">
        <f t="shared" si="1183"/>
        <v>2504</v>
      </c>
      <c r="P717" s="81"/>
      <c r="Q717" s="81"/>
      <c r="R717" s="81"/>
      <c r="S717" s="81"/>
      <c r="T717" s="81"/>
      <c r="U717" s="81"/>
      <c r="V717" s="81"/>
      <c r="W717" s="81"/>
      <c r="X717" s="81"/>
      <c r="Y717" s="81"/>
      <c r="Z717" s="81"/>
      <c r="AA717" s="81"/>
      <c r="AB717" s="81"/>
      <c r="AC717" s="81"/>
      <c r="AD717" s="81"/>
      <c r="AE717" s="81"/>
      <c r="AF717" s="81"/>
    </row>
    <row r="718" spans="1:32">
      <c r="A718" s="76" t="s">
        <v>1452</v>
      </c>
      <c r="B718" s="79">
        <f>B711*2*0.9</f>
        <v>61650</v>
      </c>
      <c r="C718" s="79">
        <f t="shared" ref="C718:I718" si="1189">C711*2*0.9</f>
        <v>70470</v>
      </c>
      <c r="D718" s="79">
        <f t="shared" si="1189"/>
        <v>79290</v>
      </c>
      <c r="E718" s="79">
        <f t="shared" si="1189"/>
        <v>88020</v>
      </c>
      <c r="F718" s="79">
        <f t="shared" si="1189"/>
        <v>95130</v>
      </c>
      <c r="G718" s="79">
        <f t="shared" si="1189"/>
        <v>102150</v>
      </c>
      <c r="H718" s="79">
        <f t="shared" si="1189"/>
        <v>109170</v>
      </c>
      <c r="I718" s="79">
        <f t="shared" si="1189"/>
        <v>116190</v>
      </c>
      <c r="J718" s="80">
        <f t="shared" si="1178"/>
        <v>1541</v>
      </c>
      <c r="K718" s="80">
        <f t="shared" si="1179"/>
        <v>1651</v>
      </c>
      <c r="L718" s="80">
        <f t="shared" si="1180"/>
        <v>1982</v>
      </c>
      <c r="M718" s="80">
        <f t="shared" si="1181"/>
        <v>2289</v>
      </c>
      <c r="N718" s="80">
        <f t="shared" si="1182"/>
        <v>2553</v>
      </c>
      <c r="O718" s="80">
        <f t="shared" si="1183"/>
        <v>2817</v>
      </c>
      <c r="P718" s="81"/>
      <c r="Q718" s="81"/>
      <c r="R718" s="81"/>
      <c r="S718" s="81"/>
      <c r="T718" s="81"/>
      <c r="U718" s="81"/>
      <c r="V718" s="81"/>
      <c r="W718" s="81"/>
      <c r="X718" s="81"/>
      <c r="Y718" s="81"/>
      <c r="Z718" s="81"/>
      <c r="AA718" s="81"/>
      <c r="AB718" s="81"/>
      <c r="AC718" s="81"/>
      <c r="AD718" s="81"/>
      <c r="AE718" s="81"/>
      <c r="AF718" s="81"/>
    </row>
    <row r="719" spans="1:32">
      <c r="A719" s="76" t="s">
        <v>1453</v>
      </c>
      <c r="B719" s="79">
        <f>B711*2</f>
        <v>68500</v>
      </c>
      <c r="C719" s="79">
        <f t="shared" ref="C719:I719" si="1190">C711*2</f>
        <v>78300</v>
      </c>
      <c r="D719" s="79">
        <f t="shared" si="1190"/>
        <v>88100</v>
      </c>
      <c r="E719" s="79">
        <f t="shared" si="1190"/>
        <v>97800</v>
      </c>
      <c r="F719" s="79">
        <f t="shared" si="1190"/>
        <v>105700</v>
      </c>
      <c r="G719" s="79">
        <f t="shared" si="1190"/>
        <v>113500</v>
      </c>
      <c r="H719" s="79">
        <f t="shared" si="1190"/>
        <v>121300</v>
      </c>
      <c r="I719" s="79">
        <f t="shared" si="1190"/>
        <v>129100</v>
      </c>
      <c r="J719" s="80">
        <f>J711*2</f>
        <v>1712</v>
      </c>
      <c r="K719" s="80">
        <f t="shared" ref="K719:O719" si="1191">K711*2</f>
        <v>1834</v>
      </c>
      <c r="L719" s="80">
        <f t="shared" si="1191"/>
        <v>2202</v>
      </c>
      <c r="M719" s="80">
        <f t="shared" si="1191"/>
        <v>2542</v>
      </c>
      <c r="N719" s="80">
        <f t="shared" si="1191"/>
        <v>2836</v>
      </c>
      <c r="O719" s="80">
        <f t="shared" si="1191"/>
        <v>3130</v>
      </c>
      <c r="P719" s="81"/>
      <c r="Q719" s="81"/>
      <c r="R719" s="81"/>
      <c r="S719" s="81"/>
      <c r="T719" s="81"/>
      <c r="U719" s="81"/>
      <c r="V719" s="81"/>
      <c r="W719" s="81"/>
      <c r="X719" s="81"/>
      <c r="Y719" s="81"/>
      <c r="Z719" s="81"/>
      <c r="AA719" s="81"/>
      <c r="AB719" s="81"/>
      <c r="AC719" s="81"/>
      <c r="AD719" s="81"/>
      <c r="AE719" s="81"/>
      <c r="AF719" s="81"/>
    </row>
    <row r="720" spans="1:32">
      <c r="A720" s="76" t="s">
        <v>1454</v>
      </c>
      <c r="B720" s="79">
        <f>B711*2*1.1</f>
        <v>75350</v>
      </c>
      <c r="C720" s="79">
        <f t="shared" ref="C720:I720" si="1192">C711*2*1.1</f>
        <v>86130</v>
      </c>
      <c r="D720" s="79">
        <f t="shared" si="1192"/>
        <v>96910.000000000015</v>
      </c>
      <c r="E720" s="79">
        <f t="shared" si="1192"/>
        <v>107580.00000000001</v>
      </c>
      <c r="F720" s="79">
        <f t="shared" si="1192"/>
        <v>116270.00000000001</v>
      </c>
      <c r="G720" s="79">
        <f t="shared" si="1192"/>
        <v>124850.00000000001</v>
      </c>
      <c r="H720" s="79">
        <f t="shared" si="1192"/>
        <v>133430</v>
      </c>
      <c r="I720" s="79">
        <f t="shared" si="1192"/>
        <v>142010</v>
      </c>
      <c r="J720" s="80">
        <f t="shared" ref="J720:J728" si="1193">TRUNC(B720/12*0.3)</f>
        <v>1883</v>
      </c>
      <c r="K720" s="80">
        <f t="shared" ref="K720:K728" si="1194">TRUNC((B720+C720)/2/12*0.3)</f>
        <v>2018</v>
      </c>
      <c r="L720" s="80">
        <f t="shared" ref="L720:L728" si="1195">TRUNC((D720)/12*0.3)</f>
        <v>2422</v>
      </c>
      <c r="M720" s="80">
        <f t="shared" ref="M720:M728" si="1196">TRUNC(((E720+F720)/2)/12*0.3)</f>
        <v>2798</v>
      </c>
      <c r="N720" s="80">
        <f t="shared" ref="N720:N728" si="1197">TRUNC(G720/12*0.3)</f>
        <v>3121</v>
      </c>
      <c r="O720" s="80">
        <f t="shared" ref="O720:O728" si="1198">TRUNC(((H720+I720)/2)/12*0.3)</f>
        <v>3443</v>
      </c>
      <c r="P720" s="81"/>
      <c r="Q720" s="81"/>
      <c r="R720" s="81"/>
      <c r="S720" s="81"/>
      <c r="T720" s="81"/>
      <c r="U720" s="81"/>
      <c r="V720" s="81"/>
      <c r="W720" s="81"/>
      <c r="X720" s="81"/>
      <c r="Y720" s="81"/>
      <c r="Z720" s="81"/>
      <c r="AA720" s="81"/>
      <c r="AB720" s="81"/>
      <c r="AC720" s="81"/>
      <c r="AD720" s="81"/>
      <c r="AE720" s="81"/>
      <c r="AF720" s="81"/>
    </row>
    <row r="721" spans="1:32">
      <c r="A721" s="76" t="s">
        <v>1455</v>
      </c>
      <c r="B721" s="79">
        <f>B711*2*1.2</f>
        <v>82200</v>
      </c>
      <c r="C721" s="79">
        <f t="shared" ref="C721:I721" si="1199">C711*2*1.2</f>
        <v>93960</v>
      </c>
      <c r="D721" s="79">
        <f t="shared" si="1199"/>
        <v>105720</v>
      </c>
      <c r="E721" s="79">
        <f t="shared" si="1199"/>
        <v>117360</v>
      </c>
      <c r="F721" s="79">
        <f t="shared" si="1199"/>
        <v>126840</v>
      </c>
      <c r="G721" s="79">
        <f t="shared" si="1199"/>
        <v>136200</v>
      </c>
      <c r="H721" s="79">
        <f t="shared" si="1199"/>
        <v>145560</v>
      </c>
      <c r="I721" s="79">
        <f t="shared" si="1199"/>
        <v>154920</v>
      </c>
      <c r="J721" s="80">
        <f t="shared" si="1193"/>
        <v>2055</v>
      </c>
      <c r="K721" s="80">
        <f t="shared" si="1194"/>
        <v>2202</v>
      </c>
      <c r="L721" s="80">
        <f t="shared" si="1195"/>
        <v>2643</v>
      </c>
      <c r="M721" s="80">
        <f t="shared" si="1196"/>
        <v>3052</v>
      </c>
      <c r="N721" s="80">
        <f t="shared" si="1197"/>
        <v>3405</v>
      </c>
      <c r="O721" s="80">
        <f t="shared" si="1198"/>
        <v>3756</v>
      </c>
      <c r="P721" s="81"/>
      <c r="Q721" s="81"/>
      <c r="R721" s="81"/>
      <c r="S721" s="81"/>
      <c r="T721" s="81"/>
      <c r="U721" s="81"/>
      <c r="V721" s="81"/>
      <c r="W721" s="81"/>
      <c r="X721" s="81"/>
      <c r="Y721" s="81"/>
      <c r="Z721" s="81"/>
      <c r="AA721" s="81"/>
      <c r="AB721" s="81"/>
      <c r="AC721" s="81"/>
      <c r="AD721" s="81"/>
      <c r="AE721" s="81"/>
      <c r="AF721" s="81"/>
    </row>
    <row r="722" spans="1:32">
      <c r="A722" s="76" t="s">
        <v>1456</v>
      </c>
      <c r="B722" s="79">
        <f>B729*2*0.15</f>
        <v>19185</v>
      </c>
      <c r="C722" s="79">
        <f>C729*2*0.15</f>
        <v>21930</v>
      </c>
      <c r="D722" s="79">
        <f>D729*2*0.15</f>
        <v>24675</v>
      </c>
      <c r="E722" s="79">
        <f>E729*2*0.15</f>
        <v>27405</v>
      </c>
      <c r="F722" s="79">
        <f>F729*2*0.15</f>
        <v>29610</v>
      </c>
      <c r="G722" s="79">
        <f t="shared" ref="G722:I722" si="1200">G729*2*0.15</f>
        <v>31800</v>
      </c>
      <c r="H722" s="79">
        <f t="shared" si="1200"/>
        <v>33990</v>
      </c>
      <c r="I722" s="79">
        <f t="shared" si="1200"/>
        <v>36180</v>
      </c>
      <c r="J722" s="80">
        <f t="shared" si="1193"/>
        <v>479</v>
      </c>
      <c r="K722" s="80">
        <f t="shared" si="1194"/>
        <v>513</v>
      </c>
      <c r="L722" s="80">
        <f t="shared" si="1195"/>
        <v>616</v>
      </c>
      <c r="M722" s="80">
        <f t="shared" si="1196"/>
        <v>712</v>
      </c>
      <c r="N722" s="80">
        <f t="shared" si="1197"/>
        <v>795</v>
      </c>
      <c r="O722" s="80">
        <f t="shared" si="1198"/>
        <v>877</v>
      </c>
      <c r="P722" s="81"/>
      <c r="Q722" s="81"/>
      <c r="R722" s="81"/>
      <c r="S722" s="81"/>
      <c r="T722" s="81"/>
      <c r="U722" s="81"/>
      <c r="V722" s="81"/>
      <c r="W722" s="81"/>
      <c r="X722" s="81"/>
      <c r="Y722" s="81"/>
      <c r="Z722" s="81"/>
      <c r="AA722" s="81"/>
      <c r="AB722" s="81"/>
      <c r="AC722" s="81"/>
      <c r="AD722" s="81"/>
      <c r="AE722" s="81"/>
      <c r="AF722" s="81"/>
    </row>
    <row r="723" spans="1:32">
      <c r="A723" s="76" t="s">
        <v>1457</v>
      </c>
      <c r="B723" s="79">
        <f>B729*2*0.2</f>
        <v>25580</v>
      </c>
      <c r="C723" s="79">
        <f t="shared" ref="C723:I723" si="1201">C729*2*0.2</f>
        <v>29240</v>
      </c>
      <c r="D723" s="79">
        <f t="shared" si="1201"/>
        <v>32900</v>
      </c>
      <c r="E723" s="79">
        <f t="shared" si="1201"/>
        <v>36540</v>
      </c>
      <c r="F723" s="79">
        <f t="shared" si="1201"/>
        <v>39480</v>
      </c>
      <c r="G723" s="79">
        <f t="shared" si="1201"/>
        <v>42400</v>
      </c>
      <c r="H723" s="79">
        <f t="shared" si="1201"/>
        <v>45320</v>
      </c>
      <c r="I723" s="79">
        <f t="shared" si="1201"/>
        <v>48240</v>
      </c>
      <c r="J723" s="80">
        <f t="shared" si="1193"/>
        <v>639</v>
      </c>
      <c r="K723" s="80">
        <f t="shared" si="1194"/>
        <v>685</v>
      </c>
      <c r="L723" s="80">
        <f t="shared" si="1195"/>
        <v>822</v>
      </c>
      <c r="M723" s="80">
        <f t="shared" si="1196"/>
        <v>950</v>
      </c>
      <c r="N723" s="80">
        <f t="shared" si="1197"/>
        <v>1060</v>
      </c>
      <c r="O723" s="80">
        <f t="shared" si="1198"/>
        <v>1169</v>
      </c>
      <c r="P723" s="81"/>
      <c r="Q723" s="81"/>
      <c r="R723" s="81"/>
      <c r="S723" s="81"/>
      <c r="T723" s="81"/>
      <c r="U723" s="81"/>
      <c r="V723" s="81"/>
      <c r="W723" s="81"/>
      <c r="X723" s="81"/>
      <c r="Y723" s="81"/>
      <c r="Z723" s="81"/>
      <c r="AA723" s="81"/>
      <c r="AB723" s="81"/>
      <c r="AC723" s="81"/>
      <c r="AD723" s="81"/>
      <c r="AE723" s="81"/>
      <c r="AF723" s="81"/>
    </row>
    <row r="724" spans="1:32">
      <c r="A724" s="76" t="s">
        <v>1458</v>
      </c>
      <c r="B724" s="79">
        <f>B729*2*0.25</f>
        <v>31975</v>
      </c>
      <c r="C724" s="79">
        <f t="shared" ref="C724:I724" si="1202">C729*2*0.25</f>
        <v>36550</v>
      </c>
      <c r="D724" s="79">
        <f t="shared" si="1202"/>
        <v>41125</v>
      </c>
      <c r="E724" s="79">
        <f t="shared" si="1202"/>
        <v>45675</v>
      </c>
      <c r="F724" s="79">
        <f t="shared" si="1202"/>
        <v>49350</v>
      </c>
      <c r="G724" s="79">
        <f t="shared" si="1202"/>
        <v>53000</v>
      </c>
      <c r="H724" s="79">
        <f t="shared" si="1202"/>
        <v>56650</v>
      </c>
      <c r="I724" s="79">
        <f t="shared" si="1202"/>
        <v>60300</v>
      </c>
      <c r="J724" s="80">
        <f t="shared" si="1193"/>
        <v>799</v>
      </c>
      <c r="K724" s="80">
        <f t="shared" si="1194"/>
        <v>856</v>
      </c>
      <c r="L724" s="80">
        <f t="shared" si="1195"/>
        <v>1028</v>
      </c>
      <c r="M724" s="80">
        <f t="shared" si="1196"/>
        <v>1187</v>
      </c>
      <c r="N724" s="80">
        <f t="shared" si="1197"/>
        <v>1325</v>
      </c>
      <c r="O724" s="80">
        <f t="shared" si="1198"/>
        <v>1461</v>
      </c>
      <c r="P724" s="81"/>
      <c r="Q724" s="81"/>
      <c r="R724" s="81"/>
      <c r="S724" s="81"/>
      <c r="T724" s="81"/>
      <c r="U724" s="81"/>
      <c r="V724" s="81"/>
      <c r="W724" s="81"/>
      <c r="X724" s="81"/>
      <c r="Y724" s="81"/>
      <c r="Z724" s="81"/>
      <c r="AA724" s="81"/>
      <c r="AB724" s="81"/>
      <c r="AC724" s="81"/>
      <c r="AD724" s="81"/>
      <c r="AE724" s="81"/>
      <c r="AF724" s="81"/>
    </row>
    <row r="725" spans="1:32">
      <c r="A725" s="76" t="s">
        <v>1459</v>
      </c>
      <c r="B725" s="79">
        <f>B729*2*0.3</f>
        <v>38370</v>
      </c>
      <c r="C725" s="79">
        <f t="shared" ref="C725:I725" si="1203">C729*2*0.3</f>
        <v>43860</v>
      </c>
      <c r="D725" s="79">
        <f t="shared" si="1203"/>
        <v>49350</v>
      </c>
      <c r="E725" s="79">
        <f t="shared" si="1203"/>
        <v>54810</v>
      </c>
      <c r="F725" s="79">
        <f t="shared" si="1203"/>
        <v>59220</v>
      </c>
      <c r="G725" s="79">
        <f t="shared" si="1203"/>
        <v>63600</v>
      </c>
      <c r="H725" s="79">
        <f t="shared" si="1203"/>
        <v>67980</v>
      </c>
      <c r="I725" s="79">
        <f t="shared" si="1203"/>
        <v>72360</v>
      </c>
      <c r="J725" s="80">
        <f t="shared" si="1193"/>
        <v>959</v>
      </c>
      <c r="K725" s="80">
        <f t="shared" si="1194"/>
        <v>1027</v>
      </c>
      <c r="L725" s="80">
        <f t="shared" si="1195"/>
        <v>1233</v>
      </c>
      <c r="M725" s="80">
        <f t="shared" si="1196"/>
        <v>1425</v>
      </c>
      <c r="N725" s="80">
        <f t="shared" si="1197"/>
        <v>1590</v>
      </c>
      <c r="O725" s="80">
        <f t="shared" si="1198"/>
        <v>1754</v>
      </c>
      <c r="P725" s="81"/>
      <c r="Q725" s="81"/>
      <c r="R725" s="81"/>
      <c r="S725" s="81"/>
      <c r="T725" s="81"/>
      <c r="U725" s="81"/>
      <c r="V725" s="81"/>
      <c r="W725" s="81"/>
      <c r="X725" s="81"/>
      <c r="Y725" s="81"/>
      <c r="Z725" s="81"/>
      <c r="AA725" s="81"/>
      <c r="AB725" s="81"/>
      <c r="AC725" s="81"/>
      <c r="AD725" s="81"/>
      <c r="AE725" s="81"/>
      <c r="AF725" s="81"/>
    </row>
    <row r="726" spans="1:32">
      <c r="A726" s="76" t="s">
        <v>1460</v>
      </c>
      <c r="B726" s="79">
        <f>B729*2*0.35</f>
        <v>44765</v>
      </c>
      <c r="C726" s="79">
        <f t="shared" ref="C726:I726" si="1204">C729*2*0.35</f>
        <v>51170</v>
      </c>
      <c r="D726" s="79">
        <f t="shared" si="1204"/>
        <v>57574.999999999993</v>
      </c>
      <c r="E726" s="79">
        <f t="shared" si="1204"/>
        <v>63944.999999999993</v>
      </c>
      <c r="F726" s="79">
        <f t="shared" si="1204"/>
        <v>69090</v>
      </c>
      <c r="G726" s="79">
        <f t="shared" si="1204"/>
        <v>74200</v>
      </c>
      <c r="H726" s="79">
        <f t="shared" si="1204"/>
        <v>79310</v>
      </c>
      <c r="I726" s="79">
        <f t="shared" si="1204"/>
        <v>84420</v>
      </c>
      <c r="J726" s="80">
        <f t="shared" si="1193"/>
        <v>1119</v>
      </c>
      <c r="K726" s="80">
        <f t="shared" si="1194"/>
        <v>1199</v>
      </c>
      <c r="L726" s="80">
        <f t="shared" si="1195"/>
        <v>1439</v>
      </c>
      <c r="M726" s="80">
        <f t="shared" si="1196"/>
        <v>1662</v>
      </c>
      <c r="N726" s="80">
        <f t="shared" si="1197"/>
        <v>1855</v>
      </c>
      <c r="O726" s="80">
        <f t="shared" si="1198"/>
        <v>2046</v>
      </c>
      <c r="P726" s="81"/>
      <c r="Q726" s="81"/>
      <c r="R726" s="81"/>
      <c r="S726" s="81"/>
      <c r="T726" s="81"/>
      <c r="U726" s="81"/>
      <c r="V726" s="81"/>
      <c r="W726" s="81"/>
      <c r="X726" s="81"/>
      <c r="Y726" s="81"/>
      <c r="Z726" s="81"/>
      <c r="AA726" s="81"/>
      <c r="AB726" s="81"/>
      <c r="AC726" s="81"/>
      <c r="AD726" s="81"/>
      <c r="AE726" s="81"/>
      <c r="AF726" s="81"/>
    </row>
    <row r="727" spans="1:32">
      <c r="A727" s="76" t="s">
        <v>1461</v>
      </c>
      <c r="B727" s="79">
        <f>B729*2*0.4</f>
        <v>51160</v>
      </c>
      <c r="C727" s="79">
        <f t="shared" ref="C727:I727" si="1205">C729*2*0.4</f>
        <v>58480</v>
      </c>
      <c r="D727" s="79">
        <f t="shared" si="1205"/>
        <v>65800</v>
      </c>
      <c r="E727" s="79">
        <f t="shared" si="1205"/>
        <v>73080</v>
      </c>
      <c r="F727" s="79">
        <f t="shared" si="1205"/>
        <v>78960</v>
      </c>
      <c r="G727" s="79">
        <f t="shared" si="1205"/>
        <v>84800</v>
      </c>
      <c r="H727" s="79">
        <f t="shared" si="1205"/>
        <v>90640</v>
      </c>
      <c r="I727" s="79">
        <f t="shared" si="1205"/>
        <v>96480</v>
      </c>
      <c r="J727" s="80">
        <f t="shared" si="1193"/>
        <v>1279</v>
      </c>
      <c r="K727" s="80">
        <f t="shared" si="1194"/>
        <v>1370</v>
      </c>
      <c r="L727" s="80">
        <f t="shared" si="1195"/>
        <v>1645</v>
      </c>
      <c r="M727" s="80">
        <f t="shared" si="1196"/>
        <v>1900</v>
      </c>
      <c r="N727" s="80">
        <f t="shared" si="1197"/>
        <v>2120</v>
      </c>
      <c r="O727" s="80">
        <f t="shared" si="1198"/>
        <v>2339</v>
      </c>
      <c r="P727" s="81"/>
      <c r="Q727" s="81"/>
      <c r="R727" s="81"/>
      <c r="S727" s="81"/>
      <c r="T727" s="81"/>
      <c r="U727" s="81"/>
      <c r="V727" s="81"/>
      <c r="W727" s="81"/>
      <c r="X727" s="81"/>
      <c r="Y727" s="81"/>
      <c r="Z727" s="81"/>
      <c r="AA727" s="81"/>
      <c r="AB727" s="81"/>
      <c r="AC727" s="81"/>
      <c r="AD727" s="81"/>
      <c r="AE727" s="81"/>
      <c r="AF727" s="81"/>
    </row>
    <row r="728" spans="1:32">
      <c r="A728" s="76" t="s">
        <v>1462</v>
      </c>
      <c r="B728" s="79">
        <f>B729*2*0.45</f>
        <v>57555</v>
      </c>
      <c r="C728" s="79">
        <f t="shared" ref="C728:I728" si="1206">C729*2*0.45</f>
        <v>65790</v>
      </c>
      <c r="D728" s="79">
        <f t="shared" si="1206"/>
        <v>74025</v>
      </c>
      <c r="E728" s="79">
        <f t="shared" si="1206"/>
        <v>82215</v>
      </c>
      <c r="F728" s="79">
        <f t="shared" si="1206"/>
        <v>88830</v>
      </c>
      <c r="G728" s="79">
        <f t="shared" si="1206"/>
        <v>95400</v>
      </c>
      <c r="H728" s="79">
        <f t="shared" si="1206"/>
        <v>101970</v>
      </c>
      <c r="I728" s="79">
        <f t="shared" si="1206"/>
        <v>108540</v>
      </c>
      <c r="J728" s="80">
        <f t="shared" si="1193"/>
        <v>1438</v>
      </c>
      <c r="K728" s="80">
        <f t="shared" si="1194"/>
        <v>1541</v>
      </c>
      <c r="L728" s="80">
        <f t="shared" si="1195"/>
        <v>1850</v>
      </c>
      <c r="M728" s="80">
        <f t="shared" si="1196"/>
        <v>2138</v>
      </c>
      <c r="N728" s="80">
        <f t="shared" si="1197"/>
        <v>2385</v>
      </c>
      <c r="O728" s="80">
        <f t="shared" si="1198"/>
        <v>2631</v>
      </c>
      <c r="P728" s="81"/>
      <c r="Q728" s="81"/>
      <c r="R728" s="81"/>
      <c r="S728" s="81"/>
      <c r="T728" s="81"/>
      <c r="U728" s="81"/>
      <c r="V728" s="81"/>
      <c r="W728" s="81"/>
      <c r="X728" s="81"/>
      <c r="Y728" s="81"/>
      <c r="Z728" s="81"/>
      <c r="AA728" s="81"/>
      <c r="AB728" s="81"/>
      <c r="AC728" s="81"/>
      <c r="AD728" s="81"/>
      <c r="AE728" s="81"/>
      <c r="AF728" s="81"/>
    </row>
    <row r="729" spans="1:32">
      <c r="A729" s="82" t="s">
        <v>1463</v>
      </c>
      <c r="B729" s="84">
        <f>'MTSP 50% Income Limits '!B42</f>
        <v>63950</v>
      </c>
      <c r="C729" s="84">
        <f>'MTSP 50% Income Limits '!C42</f>
        <v>73100</v>
      </c>
      <c r="D729" s="84">
        <f>'MTSP 50% Income Limits '!D42</f>
        <v>82250</v>
      </c>
      <c r="E729" s="84">
        <f>'MTSP 50% Income Limits '!E42</f>
        <v>91350</v>
      </c>
      <c r="F729" s="84">
        <f>'MTSP 50% Income Limits '!F42</f>
        <v>98700</v>
      </c>
      <c r="G729" s="84">
        <f>'MTSP 50% Income Limits '!G42</f>
        <v>106000</v>
      </c>
      <c r="H729" s="84">
        <f>'MTSP 50% Income Limits '!H42</f>
        <v>113300</v>
      </c>
      <c r="I729" s="84">
        <f>'MTSP 50% Income Limits '!I42</f>
        <v>120600</v>
      </c>
      <c r="J729" s="83">
        <f>TRUNC(B729/12*0.3)</f>
        <v>1598</v>
      </c>
      <c r="K729" s="83">
        <f>TRUNC((B729+C729)/2/12*0.3)</f>
        <v>1713</v>
      </c>
      <c r="L729" s="83">
        <f>TRUNC((D729)/12*0.3)</f>
        <v>2056</v>
      </c>
      <c r="M729" s="83">
        <f>TRUNC(((E729+F729)/2)/12*0.3)</f>
        <v>2375</v>
      </c>
      <c r="N729" s="83">
        <f>TRUNC(G729/12*0.3)</f>
        <v>2650</v>
      </c>
      <c r="O729" s="83">
        <f>TRUNC(((H729+I729)/2)/12*0.3)</f>
        <v>2923</v>
      </c>
      <c r="P729" s="81"/>
      <c r="Q729" s="81"/>
      <c r="R729" s="81"/>
      <c r="S729" s="81"/>
      <c r="T729" s="81"/>
      <c r="U729" s="81"/>
      <c r="V729" s="81"/>
      <c r="W729" s="81"/>
      <c r="X729" s="81"/>
      <c r="Y729" s="81"/>
      <c r="Z729" s="81"/>
      <c r="AA729" s="81"/>
      <c r="AB729" s="81"/>
      <c r="AC729" s="81"/>
      <c r="AD729" s="81"/>
      <c r="AE729" s="81"/>
      <c r="AF729" s="81"/>
    </row>
    <row r="730" spans="1:32">
      <c r="A730" s="76" t="s">
        <v>1464</v>
      </c>
      <c r="B730" s="79">
        <f>B729*2*0.55</f>
        <v>70345</v>
      </c>
      <c r="C730" s="79">
        <f t="shared" ref="C730:I730" si="1207">C729*2*0.55</f>
        <v>80410</v>
      </c>
      <c r="D730" s="79">
        <f t="shared" si="1207"/>
        <v>90475.000000000015</v>
      </c>
      <c r="E730" s="79">
        <f t="shared" si="1207"/>
        <v>100485.00000000001</v>
      </c>
      <c r="F730" s="79">
        <f t="shared" si="1207"/>
        <v>108570.00000000001</v>
      </c>
      <c r="G730" s="79">
        <f t="shared" si="1207"/>
        <v>116600.00000000001</v>
      </c>
      <c r="H730" s="79">
        <f t="shared" si="1207"/>
        <v>124630.00000000001</v>
      </c>
      <c r="I730" s="79">
        <f t="shared" si="1207"/>
        <v>132660</v>
      </c>
      <c r="J730" s="80">
        <f t="shared" ref="J730:J736" si="1208">TRUNC(B730/12*0.3)</f>
        <v>1758</v>
      </c>
      <c r="K730" s="80">
        <f t="shared" ref="K730:K736" si="1209">TRUNC((B730+C730)/2/12*0.3)</f>
        <v>1884</v>
      </c>
      <c r="L730" s="80">
        <f t="shared" ref="L730:L736" si="1210">TRUNC((D730)/12*0.3)</f>
        <v>2261</v>
      </c>
      <c r="M730" s="80">
        <f t="shared" ref="M730:M736" si="1211">TRUNC(((E730+F730)/2)/12*0.3)</f>
        <v>2613</v>
      </c>
      <c r="N730" s="80">
        <f t="shared" ref="N730:N736" si="1212">TRUNC(G730/12*0.3)</f>
        <v>2915</v>
      </c>
      <c r="O730" s="80">
        <f t="shared" ref="O730:O736" si="1213">TRUNC(((H730+I730)/2)/12*0.3)</f>
        <v>3216</v>
      </c>
      <c r="P730" s="81"/>
      <c r="Q730" s="81"/>
      <c r="R730" s="81"/>
      <c r="S730" s="81"/>
      <c r="T730" s="81"/>
      <c r="U730" s="81"/>
      <c r="V730" s="81"/>
      <c r="W730" s="81"/>
      <c r="X730" s="81"/>
      <c r="Y730" s="81"/>
      <c r="Z730" s="81"/>
      <c r="AA730" s="81"/>
      <c r="AB730" s="81"/>
      <c r="AC730" s="81"/>
      <c r="AD730" s="81"/>
      <c r="AE730" s="81"/>
      <c r="AF730" s="81"/>
    </row>
    <row r="731" spans="1:32">
      <c r="A731" s="76" t="s">
        <v>1465</v>
      </c>
      <c r="B731" s="79">
        <f>B729*2*0.6</f>
        <v>76740</v>
      </c>
      <c r="C731" s="79">
        <f t="shared" ref="C731:I731" si="1214">C729*2*0.6</f>
        <v>87720</v>
      </c>
      <c r="D731" s="79">
        <f t="shared" si="1214"/>
        <v>98700</v>
      </c>
      <c r="E731" s="79">
        <f t="shared" si="1214"/>
        <v>109620</v>
      </c>
      <c r="F731" s="79">
        <f t="shared" si="1214"/>
        <v>118440</v>
      </c>
      <c r="G731" s="79">
        <f t="shared" si="1214"/>
        <v>127200</v>
      </c>
      <c r="H731" s="79">
        <f t="shared" si="1214"/>
        <v>135960</v>
      </c>
      <c r="I731" s="79">
        <f t="shared" si="1214"/>
        <v>144720</v>
      </c>
      <c r="J731" s="80">
        <f t="shared" si="1208"/>
        <v>1918</v>
      </c>
      <c r="K731" s="80">
        <f t="shared" si="1209"/>
        <v>2055</v>
      </c>
      <c r="L731" s="80">
        <f t="shared" si="1210"/>
        <v>2467</v>
      </c>
      <c r="M731" s="80">
        <f t="shared" si="1211"/>
        <v>2850</v>
      </c>
      <c r="N731" s="80">
        <f t="shared" si="1212"/>
        <v>3180</v>
      </c>
      <c r="O731" s="80">
        <f t="shared" si="1213"/>
        <v>3508</v>
      </c>
      <c r="P731" s="81"/>
      <c r="Q731" s="81"/>
      <c r="R731" s="81"/>
      <c r="S731" s="81"/>
      <c r="T731" s="81"/>
      <c r="U731" s="81"/>
      <c r="V731" s="81"/>
      <c r="W731" s="81"/>
      <c r="X731" s="81"/>
      <c r="Y731" s="81"/>
      <c r="Z731" s="81"/>
      <c r="AA731" s="81"/>
      <c r="AB731" s="81"/>
      <c r="AC731" s="81"/>
      <c r="AD731" s="81"/>
      <c r="AE731" s="81"/>
      <c r="AF731" s="81"/>
    </row>
    <row r="732" spans="1:32">
      <c r="A732" s="76" t="s">
        <v>1466</v>
      </c>
      <c r="B732" s="79">
        <f>B729*2*0.65</f>
        <v>83135</v>
      </c>
      <c r="C732" s="79">
        <f t="shared" ref="C732:I732" si="1215">C729*2*0.65</f>
        <v>95030</v>
      </c>
      <c r="D732" s="79">
        <f t="shared" si="1215"/>
        <v>106925</v>
      </c>
      <c r="E732" s="79">
        <f t="shared" si="1215"/>
        <v>118755</v>
      </c>
      <c r="F732" s="79">
        <f t="shared" si="1215"/>
        <v>128310</v>
      </c>
      <c r="G732" s="79">
        <f t="shared" si="1215"/>
        <v>137800</v>
      </c>
      <c r="H732" s="79">
        <f t="shared" si="1215"/>
        <v>147290</v>
      </c>
      <c r="I732" s="79">
        <f t="shared" si="1215"/>
        <v>156780</v>
      </c>
      <c r="J732" s="80">
        <f t="shared" si="1208"/>
        <v>2078</v>
      </c>
      <c r="K732" s="80">
        <f t="shared" si="1209"/>
        <v>2227</v>
      </c>
      <c r="L732" s="80">
        <f t="shared" si="1210"/>
        <v>2673</v>
      </c>
      <c r="M732" s="80">
        <f t="shared" si="1211"/>
        <v>3088</v>
      </c>
      <c r="N732" s="80">
        <f t="shared" si="1212"/>
        <v>3445</v>
      </c>
      <c r="O732" s="80">
        <f t="shared" si="1213"/>
        <v>3800</v>
      </c>
      <c r="P732" s="81"/>
      <c r="Q732" s="81"/>
      <c r="R732" s="81"/>
      <c r="S732" s="81"/>
      <c r="T732" s="81"/>
      <c r="U732" s="81"/>
      <c r="V732" s="81"/>
      <c r="W732" s="81"/>
      <c r="X732" s="81"/>
      <c r="Y732" s="81"/>
      <c r="Z732" s="81"/>
      <c r="AA732" s="81"/>
      <c r="AB732" s="81"/>
      <c r="AC732" s="81"/>
      <c r="AD732" s="81"/>
      <c r="AE732" s="81"/>
      <c r="AF732" s="81"/>
    </row>
    <row r="733" spans="1:32">
      <c r="A733" s="76" t="s">
        <v>1467</v>
      </c>
      <c r="B733" s="79">
        <f>B729*2*0.7</f>
        <v>89530</v>
      </c>
      <c r="C733" s="79">
        <f t="shared" ref="C733:I733" si="1216">C729*2*0.7</f>
        <v>102340</v>
      </c>
      <c r="D733" s="79">
        <f t="shared" si="1216"/>
        <v>115149.99999999999</v>
      </c>
      <c r="E733" s="79">
        <f t="shared" si="1216"/>
        <v>127889.99999999999</v>
      </c>
      <c r="F733" s="79">
        <f t="shared" si="1216"/>
        <v>138180</v>
      </c>
      <c r="G733" s="79">
        <f t="shared" si="1216"/>
        <v>148400</v>
      </c>
      <c r="H733" s="79">
        <f t="shared" si="1216"/>
        <v>158620</v>
      </c>
      <c r="I733" s="79">
        <f t="shared" si="1216"/>
        <v>168840</v>
      </c>
      <c r="J733" s="80">
        <f t="shared" si="1208"/>
        <v>2238</v>
      </c>
      <c r="K733" s="80">
        <f t="shared" si="1209"/>
        <v>2398</v>
      </c>
      <c r="L733" s="80">
        <f t="shared" si="1210"/>
        <v>2878</v>
      </c>
      <c r="M733" s="80">
        <f t="shared" si="1211"/>
        <v>3325</v>
      </c>
      <c r="N733" s="80">
        <f t="shared" si="1212"/>
        <v>3710</v>
      </c>
      <c r="O733" s="80">
        <f t="shared" si="1213"/>
        <v>4093</v>
      </c>
      <c r="P733" s="81"/>
      <c r="Q733" s="81"/>
      <c r="R733" s="81"/>
      <c r="S733" s="81"/>
      <c r="T733" s="81"/>
      <c r="U733" s="81"/>
      <c r="V733" s="81"/>
      <c r="W733" s="81"/>
      <c r="X733" s="81"/>
      <c r="Y733" s="81"/>
      <c r="Z733" s="81"/>
      <c r="AA733" s="81"/>
      <c r="AB733" s="81"/>
      <c r="AC733" s="81"/>
      <c r="AD733" s="81"/>
      <c r="AE733" s="81"/>
      <c r="AF733" s="81"/>
    </row>
    <row r="734" spans="1:32">
      <c r="A734" s="76" t="s">
        <v>1468</v>
      </c>
      <c r="B734" s="79">
        <f>B729*2*0.75</f>
        <v>95925</v>
      </c>
      <c r="C734" s="79">
        <f t="shared" ref="C734:I734" si="1217">C729*2*0.75</f>
        <v>109650</v>
      </c>
      <c r="D734" s="79">
        <f t="shared" si="1217"/>
        <v>123375</v>
      </c>
      <c r="E734" s="79">
        <f t="shared" si="1217"/>
        <v>137025</v>
      </c>
      <c r="F734" s="79">
        <f t="shared" si="1217"/>
        <v>148050</v>
      </c>
      <c r="G734" s="79">
        <f t="shared" si="1217"/>
        <v>159000</v>
      </c>
      <c r="H734" s="79">
        <f t="shared" si="1217"/>
        <v>169950</v>
      </c>
      <c r="I734" s="79">
        <f t="shared" si="1217"/>
        <v>180900</v>
      </c>
      <c r="J734" s="80">
        <f t="shared" si="1208"/>
        <v>2398</v>
      </c>
      <c r="K734" s="80">
        <f t="shared" si="1209"/>
        <v>2569</v>
      </c>
      <c r="L734" s="80">
        <f t="shared" si="1210"/>
        <v>3084</v>
      </c>
      <c r="M734" s="80">
        <f t="shared" si="1211"/>
        <v>3563</v>
      </c>
      <c r="N734" s="80">
        <f t="shared" si="1212"/>
        <v>3975</v>
      </c>
      <c r="O734" s="80">
        <f t="shared" si="1213"/>
        <v>4385</v>
      </c>
      <c r="P734" s="81"/>
      <c r="Q734" s="81"/>
      <c r="R734" s="81"/>
      <c r="S734" s="81"/>
      <c r="T734" s="81"/>
      <c r="U734" s="81"/>
      <c r="V734" s="81"/>
      <c r="W734" s="81"/>
      <c r="X734" s="81"/>
      <c r="Y734" s="81"/>
      <c r="Z734" s="81"/>
      <c r="AA734" s="81"/>
      <c r="AB734" s="81"/>
      <c r="AC734" s="81"/>
      <c r="AD734" s="81"/>
      <c r="AE734" s="81"/>
      <c r="AF734" s="81"/>
    </row>
    <row r="735" spans="1:32">
      <c r="A735" s="76" t="s">
        <v>1469</v>
      </c>
      <c r="B735" s="79">
        <f>B729*2*0.8</f>
        <v>102320</v>
      </c>
      <c r="C735" s="79">
        <f t="shared" ref="C735:I735" si="1218">C729*2*0.8</f>
        <v>116960</v>
      </c>
      <c r="D735" s="79">
        <f t="shared" si="1218"/>
        <v>131600</v>
      </c>
      <c r="E735" s="79">
        <f t="shared" si="1218"/>
        <v>146160</v>
      </c>
      <c r="F735" s="79">
        <f t="shared" si="1218"/>
        <v>157920</v>
      </c>
      <c r="G735" s="79">
        <f t="shared" si="1218"/>
        <v>169600</v>
      </c>
      <c r="H735" s="79">
        <f t="shared" si="1218"/>
        <v>181280</v>
      </c>
      <c r="I735" s="79">
        <f t="shared" si="1218"/>
        <v>192960</v>
      </c>
      <c r="J735" s="80">
        <f t="shared" si="1208"/>
        <v>2558</v>
      </c>
      <c r="K735" s="80">
        <f t="shared" si="1209"/>
        <v>2741</v>
      </c>
      <c r="L735" s="80">
        <f t="shared" si="1210"/>
        <v>3290</v>
      </c>
      <c r="M735" s="80">
        <f t="shared" si="1211"/>
        <v>3801</v>
      </c>
      <c r="N735" s="80">
        <f t="shared" si="1212"/>
        <v>4240</v>
      </c>
      <c r="O735" s="80">
        <f t="shared" si="1213"/>
        <v>4678</v>
      </c>
      <c r="P735" s="81"/>
      <c r="Q735" s="81"/>
      <c r="R735" s="81"/>
      <c r="S735" s="81"/>
      <c r="T735" s="81"/>
      <c r="U735" s="81"/>
      <c r="V735" s="81"/>
      <c r="W735" s="81"/>
      <c r="X735" s="81"/>
      <c r="Y735" s="81"/>
      <c r="Z735" s="81"/>
      <c r="AA735" s="81"/>
      <c r="AB735" s="81"/>
      <c r="AC735" s="81"/>
      <c r="AD735" s="81"/>
      <c r="AE735" s="81"/>
      <c r="AF735" s="81"/>
    </row>
    <row r="736" spans="1:32">
      <c r="A736" s="76" t="s">
        <v>1470</v>
      </c>
      <c r="B736" s="79">
        <f>B729*2*0.9</f>
        <v>115110</v>
      </c>
      <c r="C736" s="79">
        <f t="shared" ref="C736:I736" si="1219">C729*2*0.9</f>
        <v>131580</v>
      </c>
      <c r="D736" s="79">
        <f t="shared" si="1219"/>
        <v>148050</v>
      </c>
      <c r="E736" s="79">
        <f t="shared" si="1219"/>
        <v>164430</v>
      </c>
      <c r="F736" s="79">
        <f t="shared" si="1219"/>
        <v>177660</v>
      </c>
      <c r="G736" s="79">
        <f t="shared" si="1219"/>
        <v>190800</v>
      </c>
      <c r="H736" s="79">
        <f t="shared" si="1219"/>
        <v>203940</v>
      </c>
      <c r="I736" s="79">
        <f t="shared" si="1219"/>
        <v>217080</v>
      </c>
      <c r="J736" s="80">
        <f t="shared" si="1208"/>
        <v>2877</v>
      </c>
      <c r="K736" s="80">
        <f t="shared" si="1209"/>
        <v>3083</v>
      </c>
      <c r="L736" s="80">
        <f t="shared" si="1210"/>
        <v>3701</v>
      </c>
      <c r="M736" s="80">
        <f t="shared" si="1211"/>
        <v>4276</v>
      </c>
      <c r="N736" s="80">
        <f t="shared" si="1212"/>
        <v>4770</v>
      </c>
      <c r="O736" s="80">
        <f t="shared" si="1213"/>
        <v>5262</v>
      </c>
      <c r="P736" s="81"/>
      <c r="Q736" s="81"/>
      <c r="R736" s="81"/>
      <c r="S736" s="81"/>
      <c r="T736" s="81"/>
      <c r="U736" s="81"/>
      <c r="V736" s="81"/>
      <c r="W736" s="81"/>
      <c r="X736" s="81"/>
      <c r="Y736" s="81"/>
      <c r="Z736" s="81"/>
      <c r="AA736" s="81"/>
      <c r="AB736" s="81"/>
      <c r="AC736" s="81"/>
      <c r="AD736" s="81"/>
      <c r="AE736" s="81"/>
      <c r="AF736" s="81"/>
    </row>
    <row r="737" spans="1:32">
      <c r="A737" s="76" t="s">
        <v>1471</v>
      </c>
      <c r="B737" s="79">
        <f>B729*2</f>
        <v>127900</v>
      </c>
      <c r="C737" s="79">
        <f t="shared" ref="C737:I737" si="1220">C729*2</f>
        <v>146200</v>
      </c>
      <c r="D737" s="79">
        <f t="shared" si="1220"/>
        <v>164500</v>
      </c>
      <c r="E737" s="79">
        <f t="shared" si="1220"/>
        <v>182700</v>
      </c>
      <c r="F737" s="79">
        <f t="shared" si="1220"/>
        <v>197400</v>
      </c>
      <c r="G737" s="79">
        <f t="shared" si="1220"/>
        <v>212000</v>
      </c>
      <c r="H737" s="79">
        <f t="shared" si="1220"/>
        <v>226600</v>
      </c>
      <c r="I737" s="79">
        <f t="shared" si="1220"/>
        <v>241200</v>
      </c>
      <c r="J737" s="80">
        <f>J729*2</f>
        <v>3196</v>
      </c>
      <c r="K737" s="80">
        <f t="shared" ref="K737:O737" si="1221">K729*2</f>
        <v>3426</v>
      </c>
      <c r="L737" s="80">
        <f t="shared" si="1221"/>
        <v>4112</v>
      </c>
      <c r="M737" s="80">
        <f t="shared" si="1221"/>
        <v>4750</v>
      </c>
      <c r="N737" s="80">
        <f t="shared" si="1221"/>
        <v>5300</v>
      </c>
      <c r="O737" s="80">
        <f t="shared" si="1221"/>
        <v>5846</v>
      </c>
      <c r="P737" s="81"/>
      <c r="Q737" s="81"/>
      <c r="R737" s="81"/>
      <c r="S737" s="81"/>
      <c r="T737" s="81"/>
      <c r="U737" s="81"/>
      <c r="V737" s="81"/>
      <c r="W737" s="81"/>
      <c r="X737" s="81"/>
      <c r="Y737" s="81"/>
      <c r="Z737" s="81"/>
      <c r="AA737" s="81"/>
      <c r="AB737" s="81"/>
      <c r="AC737" s="81"/>
      <c r="AD737" s="81"/>
      <c r="AE737" s="81"/>
      <c r="AF737" s="81"/>
    </row>
    <row r="738" spans="1:32">
      <c r="A738" s="76" t="s">
        <v>1472</v>
      </c>
      <c r="B738" s="79">
        <f>B729*2*1.1</f>
        <v>140690</v>
      </c>
      <c r="C738" s="79">
        <f t="shared" ref="C738:I738" si="1222">C729*2*1.1</f>
        <v>160820</v>
      </c>
      <c r="D738" s="79">
        <f t="shared" si="1222"/>
        <v>180950.00000000003</v>
      </c>
      <c r="E738" s="79">
        <f t="shared" si="1222"/>
        <v>200970.00000000003</v>
      </c>
      <c r="F738" s="79">
        <f t="shared" si="1222"/>
        <v>217140.00000000003</v>
      </c>
      <c r="G738" s="79">
        <f t="shared" si="1222"/>
        <v>233200.00000000003</v>
      </c>
      <c r="H738" s="79">
        <f t="shared" si="1222"/>
        <v>249260.00000000003</v>
      </c>
      <c r="I738" s="79">
        <f t="shared" si="1222"/>
        <v>265320</v>
      </c>
      <c r="J738" s="80">
        <f t="shared" ref="J738:J746" si="1223">TRUNC(B738/12*0.3)</f>
        <v>3517</v>
      </c>
      <c r="K738" s="80">
        <f t="shared" ref="K738:K746" si="1224">TRUNC((B738+C738)/2/12*0.3)</f>
        <v>3768</v>
      </c>
      <c r="L738" s="80">
        <f t="shared" ref="L738:L746" si="1225">TRUNC((D738)/12*0.3)</f>
        <v>4523</v>
      </c>
      <c r="M738" s="80">
        <f t="shared" ref="M738:M746" si="1226">TRUNC(((E738+F738)/2)/12*0.3)</f>
        <v>5226</v>
      </c>
      <c r="N738" s="80">
        <f t="shared" ref="N738:N746" si="1227">TRUNC(G738/12*0.3)</f>
        <v>5830</v>
      </c>
      <c r="O738" s="80">
        <f t="shared" ref="O738:O746" si="1228">TRUNC(((H738+I738)/2)/12*0.3)</f>
        <v>6432</v>
      </c>
      <c r="P738" s="81"/>
      <c r="Q738" s="81"/>
      <c r="R738" s="81"/>
      <c r="S738" s="81"/>
      <c r="T738" s="81"/>
      <c r="U738" s="81"/>
      <c r="V738" s="81"/>
      <c r="W738" s="81"/>
      <c r="X738" s="81"/>
      <c r="Y738" s="81"/>
      <c r="Z738" s="81"/>
      <c r="AA738" s="81"/>
      <c r="AB738" s="81"/>
      <c r="AC738" s="81"/>
      <c r="AD738" s="81"/>
      <c r="AE738" s="81"/>
      <c r="AF738" s="81"/>
    </row>
    <row r="739" spans="1:32">
      <c r="A739" s="76" t="s">
        <v>1473</v>
      </c>
      <c r="B739" s="79">
        <f>B729*2*1.2</f>
        <v>153480</v>
      </c>
      <c r="C739" s="79">
        <f t="shared" ref="C739:I739" si="1229">C729*2*1.2</f>
        <v>175440</v>
      </c>
      <c r="D739" s="79">
        <f t="shared" si="1229"/>
        <v>197400</v>
      </c>
      <c r="E739" s="79">
        <f t="shared" si="1229"/>
        <v>219240</v>
      </c>
      <c r="F739" s="79">
        <f t="shared" si="1229"/>
        <v>236880</v>
      </c>
      <c r="G739" s="79">
        <f t="shared" si="1229"/>
        <v>254400</v>
      </c>
      <c r="H739" s="79">
        <f t="shared" si="1229"/>
        <v>271920</v>
      </c>
      <c r="I739" s="79">
        <f t="shared" si="1229"/>
        <v>289440</v>
      </c>
      <c r="J739" s="80">
        <f t="shared" si="1223"/>
        <v>3837</v>
      </c>
      <c r="K739" s="80">
        <f t="shared" si="1224"/>
        <v>4111</v>
      </c>
      <c r="L739" s="80">
        <f t="shared" si="1225"/>
        <v>4935</v>
      </c>
      <c r="M739" s="80">
        <f t="shared" si="1226"/>
        <v>5701</v>
      </c>
      <c r="N739" s="80">
        <f t="shared" si="1227"/>
        <v>6360</v>
      </c>
      <c r="O739" s="80">
        <f t="shared" si="1228"/>
        <v>7017</v>
      </c>
      <c r="P739" s="81"/>
      <c r="Q739" s="81"/>
      <c r="R739" s="81"/>
      <c r="S739" s="81"/>
      <c r="T739" s="81"/>
      <c r="U739" s="81"/>
      <c r="V739" s="81"/>
      <c r="W739" s="81"/>
      <c r="X739" s="81"/>
      <c r="Y739" s="81"/>
      <c r="Z739" s="81"/>
      <c r="AA739" s="81"/>
      <c r="AB739" s="81"/>
      <c r="AC739" s="81"/>
      <c r="AD739" s="81"/>
      <c r="AE739" s="81"/>
      <c r="AF739" s="81"/>
    </row>
    <row r="740" spans="1:32">
      <c r="A740" s="76" t="s">
        <v>1474</v>
      </c>
      <c r="B740" s="79">
        <f>B747*2*0.15</f>
        <v>13125</v>
      </c>
      <c r="C740" s="79">
        <f>C747*2*0.15</f>
        <v>15000</v>
      </c>
      <c r="D740" s="79">
        <f>D747*2*0.15</f>
        <v>16875</v>
      </c>
      <c r="E740" s="79">
        <f>E747*2*0.15</f>
        <v>18735</v>
      </c>
      <c r="F740" s="79">
        <f>F747*2*0.15</f>
        <v>20235</v>
      </c>
      <c r="G740" s="79">
        <f t="shared" ref="G740:I740" si="1230">G747*2*0.15</f>
        <v>21735</v>
      </c>
      <c r="H740" s="79">
        <f t="shared" si="1230"/>
        <v>23235</v>
      </c>
      <c r="I740" s="79">
        <f t="shared" si="1230"/>
        <v>24735</v>
      </c>
      <c r="J740" s="80">
        <f t="shared" si="1223"/>
        <v>328</v>
      </c>
      <c r="K740" s="80">
        <f t="shared" si="1224"/>
        <v>351</v>
      </c>
      <c r="L740" s="80">
        <f t="shared" si="1225"/>
        <v>421</v>
      </c>
      <c r="M740" s="80">
        <f t="shared" si="1226"/>
        <v>487</v>
      </c>
      <c r="N740" s="80">
        <f t="shared" si="1227"/>
        <v>543</v>
      </c>
      <c r="O740" s="80">
        <f t="shared" si="1228"/>
        <v>599</v>
      </c>
      <c r="P740" s="81"/>
      <c r="Q740" s="81"/>
      <c r="R740" s="81"/>
      <c r="S740" s="81"/>
      <c r="T740" s="81"/>
      <c r="U740" s="81"/>
      <c r="V740" s="81"/>
      <c r="W740" s="81"/>
      <c r="X740" s="81"/>
      <c r="Y740" s="81"/>
      <c r="Z740" s="81"/>
      <c r="AA740" s="81"/>
      <c r="AB740" s="81"/>
      <c r="AC740" s="81"/>
      <c r="AD740" s="81"/>
      <c r="AE740" s="81"/>
      <c r="AF740" s="81"/>
    </row>
    <row r="741" spans="1:32">
      <c r="A741" s="76" t="s">
        <v>1475</v>
      </c>
      <c r="B741" s="79">
        <f>B747*2*0.2</f>
        <v>17500</v>
      </c>
      <c r="C741" s="79">
        <f t="shared" ref="C741:I741" si="1231">C747*2*0.2</f>
        <v>20000</v>
      </c>
      <c r="D741" s="79">
        <f t="shared" si="1231"/>
        <v>22500</v>
      </c>
      <c r="E741" s="79">
        <f t="shared" si="1231"/>
        <v>24980</v>
      </c>
      <c r="F741" s="79">
        <f t="shared" si="1231"/>
        <v>26980</v>
      </c>
      <c r="G741" s="79">
        <f t="shared" si="1231"/>
        <v>28980</v>
      </c>
      <c r="H741" s="79">
        <f t="shared" si="1231"/>
        <v>30980</v>
      </c>
      <c r="I741" s="79">
        <f t="shared" si="1231"/>
        <v>32980</v>
      </c>
      <c r="J741" s="80">
        <f t="shared" si="1223"/>
        <v>437</v>
      </c>
      <c r="K741" s="80">
        <f t="shared" si="1224"/>
        <v>468</v>
      </c>
      <c r="L741" s="80">
        <f t="shared" si="1225"/>
        <v>562</v>
      </c>
      <c r="M741" s="80">
        <f t="shared" si="1226"/>
        <v>649</v>
      </c>
      <c r="N741" s="80">
        <f t="shared" si="1227"/>
        <v>724</v>
      </c>
      <c r="O741" s="80">
        <f t="shared" si="1228"/>
        <v>799</v>
      </c>
      <c r="P741" s="81"/>
      <c r="Q741" s="81"/>
      <c r="R741" s="81"/>
      <c r="S741" s="81"/>
      <c r="T741" s="81"/>
      <c r="U741" s="81"/>
      <c r="V741" s="81"/>
      <c r="W741" s="81"/>
      <c r="X741" s="81"/>
      <c r="Y741" s="81"/>
      <c r="Z741" s="81"/>
      <c r="AA741" s="81"/>
      <c r="AB741" s="81"/>
      <c r="AC741" s="81"/>
      <c r="AD741" s="81"/>
      <c r="AE741" s="81"/>
      <c r="AF741" s="81"/>
    </row>
    <row r="742" spans="1:32">
      <c r="A742" s="76" t="s">
        <v>1476</v>
      </c>
      <c r="B742" s="79">
        <f>B747*2*0.25</f>
        <v>21875</v>
      </c>
      <c r="C742" s="79">
        <f t="shared" ref="C742:I742" si="1232">C747*2*0.25</f>
        <v>25000</v>
      </c>
      <c r="D742" s="79">
        <f t="shared" si="1232"/>
        <v>28125</v>
      </c>
      <c r="E742" s="79">
        <f t="shared" si="1232"/>
        <v>31225</v>
      </c>
      <c r="F742" s="79">
        <f t="shared" si="1232"/>
        <v>33725</v>
      </c>
      <c r="G742" s="79">
        <f t="shared" si="1232"/>
        <v>36225</v>
      </c>
      <c r="H742" s="79">
        <f t="shared" si="1232"/>
        <v>38725</v>
      </c>
      <c r="I742" s="79">
        <f t="shared" si="1232"/>
        <v>41225</v>
      </c>
      <c r="J742" s="80">
        <f t="shared" si="1223"/>
        <v>546</v>
      </c>
      <c r="K742" s="80">
        <f t="shared" si="1224"/>
        <v>585</v>
      </c>
      <c r="L742" s="80">
        <f t="shared" si="1225"/>
        <v>703</v>
      </c>
      <c r="M742" s="80">
        <f t="shared" si="1226"/>
        <v>811</v>
      </c>
      <c r="N742" s="80">
        <f t="shared" si="1227"/>
        <v>905</v>
      </c>
      <c r="O742" s="80">
        <f t="shared" si="1228"/>
        <v>999</v>
      </c>
      <c r="P742" s="81"/>
      <c r="Q742" s="81"/>
      <c r="R742" s="81"/>
      <c r="S742" s="81"/>
      <c r="T742" s="81"/>
      <c r="U742" s="81"/>
      <c r="V742" s="81"/>
      <c r="W742" s="81"/>
      <c r="X742" s="81"/>
      <c r="Y742" s="81"/>
      <c r="Z742" s="81"/>
      <c r="AA742" s="81"/>
      <c r="AB742" s="81"/>
      <c r="AC742" s="81"/>
      <c r="AD742" s="81"/>
      <c r="AE742" s="81"/>
      <c r="AF742" s="81"/>
    </row>
    <row r="743" spans="1:32">
      <c r="A743" s="76" t="s">
        <v>1477</v>
      </c>
      <c r="B743" s="79">
        <f>B747*2*0.3</f>
        <v>26250</v>
      </c>
      <c r="C743" s="79">
        <f t="shared" ref="C743:I743" si="1233">C747*2*0.3</f>
        <v>30000</v>
      </c>
      <c r="D743" s="79">
        <f t="shared" si="1233"/>
        <v>33750</v>
      </c>
      <c r="E743" s="79">
        <f t="shared" si="1233"/>
        <v>37470</v>
      </c>
      <c r="F743" s="79">
        <f t="shared" si="1233"/>
        <v>40470</v>
      </c>
      <c r="G743" s="79">
        <f t="shared" si="1233"/>
        <v>43470</v>
      </c>
      <c r="H743" s="79">
        <f t="shared" si="1233"/>
        <v>46470</v>
      </c>
      <c r="I743" s="79">
        <f t="shared" si="1233"/>
        <v>49470</v>
      </c>
      <c r="J743" s="80">
        <f t="shared" si="1223"/>
        <v>656</v>
      </c>
      <c r="K743" s="80">
        <f t="shared" si="1224"/>
        <v>703</v>
      </c>
      <c r="L743" s="80">
        <f t="shared" si="1225"/>
        <v>843</v>
      </c>
      <c r="M743" s="80">
        <f t="shared" si="1226"/>
        <v>974</v>
      </c>
      <c r="N743" s="80">
        <f t="shared" si="1227"/>
        <v>1086</v>
      </c>
      <c r="O743" s="80">
        <f t="shared" si="1228"/>
        <v>1199</v>
      </c>
      <c r="P743" s="81"/>
      <c r="Q743" s="81"/>
      <c r="R743" s="81"/>
      <c r="S743" s="81"/>
      <c r="T743" s="81"/>
      <c r="U743" s="81"/>
      <c r="V743" s="81"/>
      <c r="W743" s="81"/>
      <c r="X743" s="81"/>
      <c r="Y743" s="81"/>
      <c r="Z743" s="81"/>
      <c r="AA743" s="81"/>
      <c r="AB743" s="81"/>
      <c r="AC743" s="81"/>
      <c r="AD743" s="81"/>
      <c r="AE743" s="81"/>
      <c r="AF743" s="81"/>
    </row>
    <row r="744" spans="1:32">
      <c r="A744" s="76" t="s">
        <v>1478</v>
      </c>
      <c r="B744" s="79">
        <f>B747*2*0.35</f>
        <v>30624.999999999996</v>
      </c>
      <c r="C744" s="79">
        <f t="shared" ref="C744:I744" si="1234">C747*2*0.35</f>
        <v>35000</v>
      </c>
      <c r="D744" s="79">
        <f t="shared" si="1234"/>
        <v>39375</v>
      </c>
      <c r="E744" s="79">
        <f t="shared" si="1234"/>
        <v>43715</v>
      </c>
      <c r="F744" s="79">
        <f t="shared" si="1234"/>
        <v>47215</v>
      </c>
      <c r="G744" s="79">
        <f t="shared" si="1234"/>
        <v>50715</v>
      </c>
      <c r="H744" s="79">
        <f t="shared" si="1234"/>
        <v>54215</v>
      </c>
      <c r="I744" s="79">
        <f t="shared" si="1234"/>
        <v>57714.999999999993</v>
      </c>
      <c r="J744" s="80">
        <f t="shared" si="1223"/>
        <v>765</v>
      </c>
      <c r="K744" s="80">
        <f t="shared" si="1224"/>
        <v>820</v>
      </c>
      <c r="L744" s="80">
        <f t="shared" si="1225"/>
        <v>984</v>
      </c>
      <c r="M744" s="80">
        <f t="shared" si="1226"/>
        <v>1136</v>
      </c>
      <c r="N744" s="80">
        <f t="shared" si="1227"/>
        <v>1267</v>
      </c>
      <c r="O744" s="80">
        <f t="shared" si="1228"/>
        <v>1399</v>
      </c>
      <c r="P744" s="81"/>
      <c r="Q744" s="81"/>
      <c r="R744" s="81"/>
      <c r="S744" s="81"/>
      <c r="T744" s="81"/>
      <c r="U744" s="81"/>
      <c r="V744" s="81"/>
      <c r="W744" s="81"/>
      <c r="X744" s="81"/>
      <c r="Y744" s="81"/>
      <c r="Z744" s="81"/>
      <c r="AA744" s="81"/>
      <c r="AB744" s="81"/>
      <c r="AC744" s="81"/>
      <c r="AD744" s="81"/>
      <c r="AE744" s="81"/>
      <c r="AF744" s="81"/>
    </row>
    <row r="745" spans="1:32">
      <c r="A745" s="76" t="s">
        <v>1479</v>
      </c>
      <c r="B745" s="79">
        <f>B747*2*0.4</f>
        <v>35000</v>
      </c>
      <c r="C745" s="79">
        <f t="shared" ref="C745:I745" si="1235">C747*2*0.4</f>
        <v>40000</v>
      </c>
      <c r="D745" s="79">
        <f t="shared" si="1235"/>
        <v>45000</v>
      </c>
      <c r="E745" s="79">
        <f t="shared" si="1235"/>
        <v>49960</v>
      </c>
      <c r="F745" s="79">
        <f t="shared" si="1235"/>
        <v>53960</v>
      </c>
      <c r="G745" s="79">
        <f t="shared" si="1235"/>
        <v>57960</v>
      </c>
      <c r="H745" s="79">
        <f t="shared" si="1235"/>
        <v>61960</v>
      </c>
      <c r="I745" s="79">
        <f t="shared" si="1235"/>
        <v>65960</v>
      </c>
      <c r="J745" s="80">
        <f t="shared" si="1223"/>
        <v>875</v>
      </c>
      <c r="K745" s="80">
        <f t="shared" si="1224"/>
        <v>937</v>
      </c>
      <c r="L745" s="80">
        <f t="shared" si="1225"/>
        <v>1125</v>
      </c>
      <c r="M745" s="80">
        <f t="shared" si="1226"/>
        <v>1299</v>
      </c>
      <c r="N745" s="80">
        <f t="shared" si="1227"/>
        <v>1449</v>
      </c>
      <c r="O745" s="80">
        <f t="shared" si="1228"/>
        <v>1599</v>
      </c>
      <c r="P745" s="81"/>
      <c r="Q745" s="81"/>
      <c r="R745" s="81"/>
      <c r="S745" s="81"/>
      <c r="T745" s="81"/>
      <c r="U745" s="81"/>
      <c r="V745" s="81"/>
      <c r="W745" s="81"/>
      <c r="X745" s="81"/>
      <c r="Y745" s="81"/>
      <c r="Z745" s="81"/>
      <c r="AA745" s="81"/>
      <c r="AB745" s="81"/>
      <c r="AC745" s="81"/>
      <c r="AD745" s="81"/>
      <c r="AE745" s="81"/>
      <c r="AF745" s="81"/>
    </row>
    <row r="746" spans="1:32">
      <c r="A746" s="76" t="s">
        <v>1480</v>
      </c>
      <c r="B746" s="79">
        <f>B747*2*0.45</f>
        <v>39375</v>
      </c>
      <c r="C746" s="79">
        <f t="shared" ref="C746:I746" si="1236">C747*2*0.45</f>
        <v>45000</v>
      </c>
      <c r="D746" s="79">
        <f t="shared" si="1236"/>
        <v>50625</v>
      </c>
      <c r="E746" s="79">
        <f t="shared" si="1236"/>
        <v>56205</v>
      </c>
      <c r="F746" s="79">
        <f t="shared" si="1236"/>
        <v>60705</v>
      </c>
      <c r="G746" s="79">
        <f t="shared" si="1236"/>
        <v>65205</v>
      </c>
      <c r="H746" s="79">
        <f t="shared" si="1236"/>
        <v>69705</v>
      </c>
      <c r="I746" s="79">
        <f t="shared" si="1236"/>
        <v>74205</v>
      </c>
      <c r="J746" s="80">
        <f t="shared" si="1223"/>
        <v>984</v>
      </c>
      <c r="K746" s="80">
        <f t="shared" si="1224"/>
        <v>1054</v>
      </c>
      <c r="L746" s="80">
        <f t="shared" si="1225"/>
        <v>1265</v>
      </c>
      <c r="M746" s="80">
        <f t="shared" si="1226"/>
        <v>1461</v>
      </c>
      <c r="N746" s="80">
        <f t="shared" si="1227"/>
        <v>1630</v>
      </c>
      <c r="O746" s="80">
        <f t="shared" si="1228"/>
        <v>1798</v>
      </c>
      <c r="P746" s="81"/>
      <c r="Q746" s="81"/>
      <c r="R746" s="81"/>
      <c r="S746" s="81"/>
      <c r="T746" s="81"/>
      <c r="U746" s="81"/>
      <c r="V746" s="81"/>
      <c r="W746" s="81"/>
      <c r="X746" s="81"/>
      <c r="Y746" s="81"/>
      <c r="Z746" s="81"/>
      <c r="AA746" s="81"/>
      <c r="AB746" s="81"/>
      <c r="AC746" s="81"/>
      <c r="AD746" s="81"/>
      <c r="AE746" s="81"/>
      <c r="AF746" s="81"/>
    </row>
    <row r="747" spans="1:32">
      <c r="A747" s="82" t="s">
        <v>1481</v>
      </c>
      <c r="B747" s="84">
        <f>'MTSP 50% Income Limits '!B43</f>
        <v>43750</v>
      </c>
      <c r="C747" s="84">
        <f>'MTSP 50% Income Limits '!C43</f>
        <v>50000</v>
      </c>
      <c r="D747" s="84">
        <f>'MTSP 50% Income Limits '!D43</f>
        <v>56250</v>
      </c>
      <c r="E747" s="84">
        <f>'MTSP 50% Income Limits '!E43</f>
        <v>62450</v>
      </c>
      <c r="F747" s="84">
        <f>'MTSP 50% Income Limits '!F43</f>
        <v>67450</v>
      </c>
      <c r="G747" s="84">
        <f>'MTSP 50% Income Limits '!G43</f>
        <v>72450</v>
      </c>
      <c r="H747" s="84">
        <f>'MTSP 50% Income Limits '!H43</f>
        <v>77450</v>
      </c>
      <c r="I747" s="84">
        <f>'MTSP 50% Income Limits '!I43</f>
        <v>82450</v>
      </c>
      <c r="J747" s="83">
        <f>TRUNC(B747/12*0.3)</f>
        <v>1093</v>
      </c>
      <c r="K747" s="83">
        <f>TRUNC((B747+C747)/2/12*0.3)</f>
        <v>1171</v>
      </c>
      <c r="L747" s="83">
        <f>TRUNC((D747)/12*0.3)</f>
        <v>1406</v>
      </c>
      <c r="M747" s="83">
        <f>TRUNC(((E747+F747)/2)/12*0.3)</f>
        <v>1623</v>
      </c>
      <c r="N747" s="83">
        <f>TRUNC(G747/12*0.3)</f>
        <v>1811</v>
      </c>
      <c r="O747" s="83">
        <f>TRUNC(((H747+I747)/2)/12*0.3)</f>
        <v>1998</v>
      </c>
      <c r="P747" s="81"/>
      <c r="Q747" s="81"/>
      <c r="R747" s="81"/>
      <c r="S747" s="81"/>
      <c r="T747" s="81"/>
      <c r="U747" s="81"/>
      <c r="V747" s="81"/>
      <c r="W747" s="81"/>
      <c r="X747" s="81"/>
      <c r="Y747" s="81"/>
      <c r="Z747" s="81"/>
      <c r="AA747" s="81"/>
      <c r="AB747" s="81"/>
      <c r="AC747" s="81"/>
      <c r="AD747" s="81"/>
      <c r="AE747" s="81"/>
      <c r="AF747" s="81"/>
    </row>
    <row r="748" spans="1:32">
      <c r="A748" s="76" t="s">
        <v>1482</v>
      </c>
      <c r="B748" s="79">
        <f>B747*2*0.55</f>
        <v>48125.000000000007</v>
      </c>
      <c r="C748" s="79">
        <f t="shared" ref="C748:I748" si="1237">C747*2*0.55</f>
        <v>55000.000000000007</v>
      </c>
      <c r="D748" s="79">
        <f t="shared" si="1237"/>
        <v>61875.000000000007</v>
      </c>
      <c r="E748" s="79">
        <f t="shared" si="1237"/>
        <v>68695</v>
      </c>
      <c r="F748" s="79">
        <f t="shared" si="1237"/>
        <v>74195</v>
      </c>
      <c r="G748" s="79">
        <f t="shared" si="1237"/>
        <v>79695</v>
      </c>
      <c r="H748" s="79">
        <f t="shared" si="1237"/>
        <v>85195</v>
      </c>
      <c r="I748" s="79">
        <f t="shared" si="1237"/>
        <v>90695.000000000015</v>
      </c>
      <c r="J748" s="80">
        <f t="shared" ref="J748:J754" si="1238">TRUNC(B748/12*0.3)</f>
        <v>1203</v>
      </c>
      <c r="K748" s="80">
        <f t="shared" ref="K748:K754" si="1239">TRUNC((B748+C748)/2/12*0.3)</f>
        <v>1289</v>
      </c>
      <c r="L748" s="80">
        <f t="shared" ref="L748:L754" si="1240">TRUNC((D748)/12*0.3)</f>
        <v>1546</v>
      </c>
      <c r="M748" s="80">
        <f t="shared" ref="M748:M754" si="1241">TRUNC(((E748+F748)/2)/12*0.3)</f>
        <v>1786</v>
      </c>
      <c r="N748" s="80">
        <f t="shared" ref="N748:N754" si="1242">TRUNC(G748/12*0.3)</f>
        <v>1992</v>
      </c>
      <c r="O748" s="80">
        <f t="shared" ref="O748:O754" si="1243">TRUNC(((H748+I748)/2)/12*0.3)</f>
        <v>2198</v>
      </c>
      <c r="P748" s="81"/>
      <c r="Q748" s="81"/>
      <c r="R748" s="81"/>
      <c r="S748" s="81"/>
      <c r="T748" s="81"/>
      <c r="U748" s="81"/>
      <c r="V748" s="81"/>
      <c r="W748" s="81"/>
      <c r="X748" s="81"/>
      <c r="Y748" s="81"/>
      <c r="Z748" s="81"/>
      <c r="AA748" s="81"/>
      <c r="AB748" s="81"/>
      <c r="AC748" s="81"/>
      <c r="AD748" s="81"/>
      <c r="AE748" s="81"/>
      <c r="AF748" s="81"/>
    </row>
    <row r="749" spans="1:32">
      <c r="A749" s="76" t="s">
        <v>1483</v>
      </c>
      <c r="B749" s="79">
        <f>B747*2*0.6</f>
        <v>52500</v>
      </c>
      <c r="C749" s="79">
        <f t="shared" ref="C749:I749" si="1244">C747*2*0.6</f>
        <v>60000</v>
      </c>
      <c r="D749" s="79">
        <f t="shared" si="1244"/>
        <v>67500</v>
      </c>
      <c r="E749" s="79">
        <f t="shared" si="1244"/>
        <v>74940</v>
      </c>
      <c r="F749" s="79">
        <f t="shared" si="1244"/>
        <v>80940</v>
      </c>
      <c r="G749" s="79">
        <f t="shared" si="1244"/>
        <v>86940</v>
      </c>
      <c r="H749" s="79">
        <f t="shared" si="1244"/>
        <v>92940</v>
      </c>
      <c r="I749" s="79">
        <f t="shared" si="1244"/>
        <v>98940</v>
      </c>
      <c r="J749" s="80">
        <f t="shared" si="1238"/>
        <v>1312</v>
      </c>
      <c r="K749" s="80">
        <f t="shared" si="1239"/>
        <v>1406</v>
      </c>
      <c r="L749" s="80">
        <f t="shared" si="1240"/>
        <v>1687</v>
      </c>
      <c r="M749" s="80">
        <f t="shared" si="1241"/>
        <v>1948</v>
      </c>
      <c r="N749" s="80">
        <f t="shared" si="1242"/>
        <v>2173</v>
      </c>
      <c r="O749" s="80">
        <f t="shared" si="1243"/>
        <v>2398</v>
      </c>
      <c r="P749" s="81"/>
      <c r="Q749" s="81"/>
      <c r="R749" s="81"/>
      <c r="S749" s="81"/>
      <c r="T749" s="81"/>
      <c r="U749" s="81"/>
      <c r="V749" s="81"/>
      <c r="W749" s="81"/>
      <c r="X749" s="81"/>
      <c r="Y749" s="81"/>
      <c r="Z749" s="81"/>
      <c r="AA749" s="81"/>
      <c r="AB749" s="81"/>
      <c r="AC749" s="81"/>
      <c r="AD749" s="81"/>
      <c r="AE749" s="81"/>
      <c r="AF749" s="81"/>
    </row>
    <row r="750" spans="1:32">
      <c r="A750" s="76" t="s">
        <v>1484</v>
      </c>
      <c r="B750" s="79">
        <f>B747*2*0.65</f>
        <v>56875</v>
      </c>
      <c r="C750" s="79">
        <f t="shared" ref="C750:I750" si="1245">C747*2*0.65</f>
        <v>65000</v>
      </c>
      <c r="D750" s="79">
        <f t="shared" si="1245"/>
        <v>73125</v>
      </c>
      <c r="E750" s="79">
        <f t="shared" si="1245"/>
        <v>81185</v>
      </c>
      <c r="F750" s="79">
        <f t="shared" si="1245"/>
        <v>87685</v>
      </c>
      <c r="G750" s="79">
        <f t="shared" si="1245"/>
        <v>94185</v>
      </c>
      <c r="H750" s="79">
        <f t="shared" si="1245"/>
        <v>100685</v>
      </c>
      <c r="I750" s="79">
        <f t="shared" si="1245"/>
        <v>107185</v>
      </c>
      <c r="J750" s="80">
        <f t="shared" si="1238"/>
        <v>1421</v>
      </c>
      <c r="K750" s="80">
        <f t="shared" si="1239"/>
        <v>1523</v>
      </c>
      <c r="L750" s="80">
        <f t="shared" si="1240"/>
        <v>1828</v>
      </c>
      <c r="M750" s="80">
        <f t="shared" si="1241"/>
        <v>2110</v>
      </c>
      <c r="N750" s="80">
        <f t="shared" si="1242"/>
        <v>2354</v>
      </c>
      <c r="O750" s="80">
        <f t="shared" si="1243"/>
        <v>2598</v>
      </c>
      <c r="P750" s="81"/>
      <c r="Q750" s="81"/>
      <c r="R750" s="81"/>
      <c r="S750" s="81"/>
      <c r="T750" s="81"/>
      <c r="U750" s="81"/>
      <c r="V750" s="81"/>
      <c r="W750" s="81"/>
      <c r="X750" s="81"/>
      <c r="Y750" s="81"/>
      <c r="Z750" s="81"/>
      <c r="AA750" s="81"/>
      <c r="AB750" s="81"/>
      <c r="AC750" s="81"/>
      <c r="AD750" s="81"/>
      <c r="AE750" s="81"/>
      <c r="AF750" s="81"/>
    </row>
    <row r="751" spans="1:32">
      <c r="A751" s="76" t="s">
        <v>1485</v>
      </c>
      <c r="B751" s="79">
        <f>B747*2*0.7</f>
        <v>61249.999999999993</v>
      </c>
      <c r="C751" s="79">
        <f t="shared" ref="C751:I751" si="1246">C747*2*0.7</f>
        <v>70000</v>
      </c>
      <c r="D751" s="79">
        <f t="shared" si="1246"/>
        <v>78750</v>
      </c>
      <c r="E751" s="79">
        <f t="shared" si="1246"/>
        <v>87430</v>
      </c>
      <c r="F751" s="79">
        <f t="shared" si="1246"/>
        <v>94430</v>
      </c>
      <c r="G751" s="79">
        <f t="shared" si="1246"/>
        <v>101430</v>
      </c>
      <c r="H751" s="79">
        <f t="shared" si="1246"/>
        <v>108430</v>
      </c>
      <c r="I751" s="79">
        <f t="shared" si="1246"/>
        <v>115429.99999999999</v>
      </c>
      <c r="J751" s="80">
        <f t="shared" si="1238"/>
        <v>1531</v>
      </c>
      <c r="K751" s="80">
        <f t="shared" si="1239"/>
        <v>1640</v>
      </c>
      <c r="L751" s="80">
        <f t="shared" si="1240"/>
        <v>1968</v>
      </c>
      <c r="M751" s="80">
        <f t="shared" si="1241"/>
        <v>2273</v>
      </c>
      <c r="N751" s="80">
        <f t="shared" si="1242"/>
        <v>2535</v>
      </c>
      <c r="O751" s="80">
        <f t="shared" si="1243"/>
        <v>2798</v>
      </c>
      <c r="P751" s="81"/>
      <c r="Q751" s="81"/>
      <c r="R751" s="81"/>
      <c r="S751" s="81"/>
      <c r="T751" s="81"/>
      <c r="U751" s="81"/>
      <c r="V751" s="81"/>
      <c r="W751" s="81"/>
      <c r="X751" s="81"/>
      <c r="Y751" s="81"/>
      <c r="Z751" s="81"/>
      <c r="AA751" s="81"/>
      <c r="AB751" s="81"/>
      <c r="AC751" s="81"/>
      <c r="AD751" s="81"/>
      <c r="AE751" s="81"/>
      <c r="AF751" s="81"/>
    </row>
    <row r="752" spans="1:32">
      <c r="A752" s="76" t="s">
        <v>1486</v>
      </c>
      <c r="B752" s="79">
        <f>B747*2*0.75</f>
        <v>65625</v>
      </c>
      <c r="C752" s="79">
        <f t="shared" ref="C752:I752" si="1247">C747*2*0.75</f>
        <v>75000</v>
      </c>
      <c r="D752" s="79">
        <f t="shared" si="1247"/>
        <v>84375</v>
      </c>
      <c r="E752" s="79">
        <f t="shared" si="1247"/>
        <v>93675</v>
      </c>
      <c r="F752" s="79">
        <f t="shared" si="1247"/>
        <v>101175</v>
      </c>
      <c r="G752" s="79">
        <f t="shared" si="1247"/>
        <v>108675</v>
      </c>
      <c r="H752" s="79">
        <f t="shared" si="1247"/>
        <v>116175</v>
      </c>
      <c r="I752" s="79">
        <f t="shared" si="1247"/>
        <v>123675</v>
      </c>
      <c r="J752" s="80">
        <f t="shared" si="1238"/>
        <v>1640</v>
      </c>
      <c r="K752" s="80">
        <f t="shared" si="1239"/>
        <v>1757</v>
      </c>
      <c r="L752" s="80">
        <f t="shared" si="1240"/>
        <v>2109</v>
      </c>
      <c r="M752" s="80">
        <f t="shared" si="1241"/>
        <v>2435</v>
      </c>
      <c r="N752" s="80">
        <f t="shared" si="1242"/>
        <v>2716</v>
      </c>
      <c r="O752" s="80">
        <f t="shared" si="1243"/>
        <v>2998</v>
      </c>
      <c r="P752" s="81"/>
      <c r="Q752" s="81"/>
      <c r="R752" s="81"/>
      <c r="S752" s="81"/>
      <c r="T752" s="81"/>
      <c r="U752" s="81"/>
      <c r="V752" s="81"/>
      <c r="W752" s="81"/>
      <c r="X752" s="81"/>
      <c r="Y752" s="81"/>
      <c r="Z752" s="81"/>
      <c r="AA752" s="81"/>
      <c r="AB752" s="81"/>
      <c r="AC752" s="81"/>
      <c r="AD752" s="81"/>
      <c r="AE752" s="81"/>
      <c r="AF752" s="81"/>
    </row>
    <row r="753" spans="1:32">
      <c r="A753" s="76" t="s">
        <v>1487</v>
      </c>
      <c r="B753" s="79">
        <f>B747*2*0.8</f>
        <v>70000</v>
      </c>
      <c r="C753" s="79">
        <f t="shared" ref="C753:I753" si="1248">C747*2*0.8</f>
        <v>80000</v>
      </c>
      <c r="D753" s="79">
        <f t="shared" si="1248"/>
        <v>90000</v>
      </c>
      <c r="E753" s="79">
        <f t="shared" si="1248"/>
        <v>99920</v>
      </c>
      <c r="F753" s="79">
        <f t="shared" si="1248"/>
        <v>107920</v>
      </c>
      <c r="G753" s="79">
        <f t="shared" si="1248"/>
        <v>115920</v>
      </c>
      <c r="H753" s="79">
        <f t="shared" si="1248"/>
        <v>123920</v>
      </c>
      <c r="I753" s="79">
        <f t="shared" si="1248"/>
        <v>131920</v>
      </c>
      <c r="J753" s="80">
        <f t="shared" si="1238"/>
        <v>1750</v>
      </c>
      <c r="K753" s="80">
        <f t="shared" si="1239"/>
        <v>1875</v>
      </c>
      <c r="L753" s="80">
        <f t="shared" si="1240"/>
        <v>2250</v>
      </c>
      <c r="M753" s="80">
        <f t="shared" si="1241"/>
        <v>2598</v>
      </c>
      <c r="N753" s="80">
        <f t="shared" si="1242"/>
        <v>2898</v>
      </c>
      <c r="O753" s="80">
        <f t="shared" si="1243"/>
        <v>3198</v>
      </c>
      <c r="P753" s="81"/>
      <c r="Q753" s="81"/>
      <c r="R753" s="81"/>
      <c r="S753" s="81"/>
      <c r="T753" s="81"/>
      <c r="U753" s="81"/>
      <c r="V753" s="81"/>
      <c r="W753" s="81"/>
      <c r="X753" s="81"/>
      <c r="Y753" s="81"/>
      <c r="Z753" s="81"/>
      <c r="AA753" s="81"/>
      <c r="AB753" s="81"/>
      <c r="AC753" s="81"/>
      <c r="AD753" s="81"/>
      <c r="AE753" s="81"/>
      <c r="AF753" s="81"/>
    </row>
    <row r="754" spans="1:32">
      <c r="A754" s="76" t="s">
        <v>1488</v>
      </c>
      <c r="B754" s="79">
        <f>B747*2*0.9</f>
        <v>78750</v>
      </c>
      <c r="C754" s="79">
        <f t="shared" ref="C754:I754" si="1249">C747*2*0.9</f>
        <v>90000</v>
      </c>
      <c r="D754" s="79">
        <f t="shared" si="1249"/>
        <v>101250</v>
      </c>
      <c r="E754" s="79">
        <f t="shared" si="1249"/>
        <v>112410</v>
      </c>
      <c r="F754" s="79">
        <f t="shared" si="1249"/>
        <v>121410</v>
      </c>
      <c r="G754" s="79">
        <f t="shared" si="1249"/>
        <v>130410</v>
      </c>
      <c r="H754" s="79">
        <f t="shared" si="1249"/>
        <v>139410</v>
      </c>
      <c r="I754" s="79">
        <f t="shared" si="1249"/>
        <v>148410</v>
      </c>
      <c r="J754" s="80">
        <f t="shared" si="1238"/>
        <v>1968</v>
      </c>
      <c r="K754" s="80">
        <f t="shared" si="1239"/>
        <v>2109</v>
      </c>
      <c r="L754" s="80">
        <f t="shared" si="1240"/>
        <v>2531</v>
      </c>
      <c r="M754" s="80">
        <f t="shared" si="1241"/>
        <v>2922</v>
      </c>
      <c r="N754" s="80">
        <f t="shared" si="1242"/>
        <v>3260</v>
      </c>
      <c r="O754" s="80">
        <f t="shared" si="1243"/>
        <v>3597</v>
      </c>
      <c r="P754" s="81"/>
      <c r="Q754" s="81"/>
      <c r="R754" s="81"/>
      <c r="S754" s="81"/>
      <c r="T754" s="81"/>
      <c r="U754" s="81"/>
      <c r="V754" s="81"/>
      <c r="W754" s="81"/>
      <c r="X754" s="81"/>
      <c r="Y754" s="81"/>
      <c r="Z754" s="81"/>
      <c r="AA754" s="81"/>
      <c r="AB754" s="81"/>
      <c r="AC754" s="81"/>
      <c r="AD754" s="81"/>
      <c r="AE754" s="81"/>
      <c r="AF754" s="81"/>
    </row>
    <row r="755" spans="1:32">
      <c r="A755" s="76" t="s">
        <v>1489</v>
      </c>
      <c r="B755" s="79">
        <f>B747*2</f>
        <v>87500</v>
      </c>
      <c r="C755" s="79">
        <f t="shared" ref="C755:I755" si="1250">C747*2</f>
        <v>100000</v>
      </c>
      <c r="D755" s="79">
        <f t="shared" si="1250"/>
        <v>112500</v>
      </c>
      <c r="E755" s="79">
        <f t="shared" si="1250"/>
        <v>124900</v>
      </c>
      <c r="F755" s="79">
        <f t="shared" si="1250"/>
        <v>134900</v>
      </c>
      <c r="G755" s="79">
        <f t="shared" si="1250"/>
        <v>144900</v>
      </c>
      <c r="H755" s="79">
        <f t="shared" si="1250"/>
        <v>154900</v>
      </c>
      <c r="I755" s="79">
        <f t="shared" si="1250"/>
        <v>164900</v>
      </c>
      <c r="J755" s="80">
        <f>J747*2</f>
        <v>2186</v>
      </c>
      <c r="K755" s="80">
        <f t="shared" ref="K755:O755" si="1251">K747*2</f>
        <v>2342</v>
      </c>
      <c r="L755" s="80">
        <f t="shared" si="1251"/>
        <v>2812</v>
      </c>
      <c r="M755" s="80">
        <f t="shared" si="1251"/>
        <v>3246</v>
      </c>
      <c r="N755" s="80">
        <f t="shared" si="1251"/>
        <v>3622</v>
      </c>
      <c r="O755" s="80">
        <f t="shared" si="1251"/>
        <v>3996</v>
      </c>
      <c r="P755" s="81"/>
      <c r="Q755" s="81"/>
      <c r="R755" s="81"/>
      <c r="S755" s="81"/>
      <c r="T755" s="81"/>
      <c r="U755" s="81"/>
      <c r="V755" s="81"/>
      <c r="W755" s="81"/>
      <c r="X755" s="81"/>
      <c r="Y755" s="81"/>
      <c r="Z755" s="81"/>
      <c r="AA755" s="81"/>
      <c r="AB755" s="81"/>
      <c r="AC755" s="81"/>
      <c r="AD755" s="81"/>
      <c r="AE755" s="81"/>
      <c r="AF755" s="81"/>
    </row>
    <row r="756" spans="1:32">
      <c r="A756" s="76" t="s">
        <v>1490</v>
      </c>
      <c r="B756" s="79">
        <f>B747*2*1.1</f>
        <v>96250.000000000015</v>
      </c>
      <c r="C756" s="79">
        <f t="shared" ref="C756:I756" si="1252">C747*2*1.1</f>
        <v>110000.00000000001</v>
      </c>
      <c r="D756" s="79">
        <f t="shared" si="1252"/>
        <v>123750.00000000001</v>
      </c>
      <c r="E756" s="79">
        <f t="shared" si="1252"/>
        <v>137390</v>
      </c>
      <c r="F756" s="79">
        <f t="shared" si="1252"/>
        <v>148390</v>
      </c>
      <c r="G756" s="79">
        <f t="shared" si="1252"/>
        <v>159390</v>
      </c>
      <c r="H756" s="79">
        <f t="shared" si="1252"/>
        <v>170390</v>
      </c>
      <c r="I756" s="79">
        <f t="shared" si="1252"/>
        <v>181390.00000000003</v>
      </c>
      <c r="J756" s="80">
        <f t="shared" ref="J756:J764" si="1253">TRUNC(B756/12*0.3)</f>
        <v>2406</v>
      </c>
      <c r="K756" s="80">
        <f t="shared" ref="K756:K764" si="1254">TRUNC((B756+C756)/2/12*0.3)</f>
        <v>2578</v>
      </c>
      <c r="L756" s="80">
        <f t="shared" ref="L756:L764" si="1255">TRUNC((D756)/12*0.3)</f>
        <v>3093</v>
      </c>
      <c r="M756" s="80">
        <f t="shared" ref="M756:M764" si="1256">TRUNC(((E756+F756)/2)/12*0.3)</f>
        <v>3572</v>
      </c>
      <c r="N756" s="80">
        <f t="shared" ref="N756:N764" si="1257">TRUNC(G756/12*0.3)</f>
        <v>3984</v>
      </c>
      <c r="O756" s="80">
        <f t="shared" ref="O756:O764" si="1258">TRUNC(((H756+I756)/2)/12*0.3)</f>
        <v>4397</v>
      </c>
      <c r="P756" s="81"/>
      <c r="Q756" s="81"/>
      <c r="R756" s="81"/>
      <c r="S756" s="81"/>
      <c r="T756" s="81"/>
      <c r="U756" s="81"/>
      <c r="V756" s="81"/>
      <c r="W756" s="81"/>
      <c r="X756" s="81"/>
      <c r="Y756" s="81"/>
      <c r="Z756" s="81"/>
      <c r="AA756" s="81"/>
      <c r="AB756" s="81"/>
      <c r="AC756" s="81"/>
      <c r="AD756" s="81"/>
      <c r="AE756" s="81"/>
      <c r="AF756" s="81"/>
    </row>
    <row r="757" spans="1:32">
      <c r="A757" s="76" t="s">
        <v>1491</v>
      </c>
      <c r="B757" s="79">
        <f>B747*2*1.2</f>
        <v>105000</v>
      </c>
      <c r="C757" s="79">
        <f t="shared" ref="C757:I757" si="1259">C747*2*1.2</f>
        <v>120000</v>
      </c>
      <c r="D757" s="79">
        <f t="shared" si="1259"/>
        <v>135000</v>
      </c>
      <c r="E757" s="79">
        <f t="shared" si="1259"/>
        <v>149880</v>
      </c>
      <c r="F757" s="79">
        <f t="shared" si="1259"/>
        <v>161880</v>
      </c>
      <c r="G757" s="79">
        <f t="shared" si="1259"/>
        <v>173880</v>
      </c>
      <c r="H757" s="79">
        <f t="shared" si="1259"/>
        <v>185880</v>
      </c>
      <c r="I757" s="79">
        <f t="shared" si="1259"/>
        <v>197880</v>
      </c>
      <c r="J757" s="80">
        <f t="shared" si="1253"/>
        <v>2625</v>
      </c>
      <c r="K757" s="80">
        <f t="shared" si="1254"/>
        <v>2812</v>
      </c>
      <c r="L757" s="80">
        <f t="shared" si="1255"/>
        <v>3375</v>
      </c>
      <c r="M757" s="80">
        <f t="shared" si="1256"/>
        <v>3897</v>
      </c>
      <c r="N757" s="80">
        <f t="shared" si="1257"/>
        <v>4347</v>
      </c>
      <c r="O757" s="80">
        <f t="shared" si="1258"/>
        <v>4797</v>
      </c>
      <c r="P757" s="81"/>
      <c r="Q757" s="81"/>
      <c r="R757" s="81"/>
      <c r="S757" s="81"/>
      <c r="T757" s="81"/>
      <c r="U757" s="81"/>
      <c r="V757" s="81"/>
      <c r="W757" s="81"/>
      <c r="X757" s="81"/>
      <c r="Y757" s="81"/>
      <c r="Z757" s="81"/>
      <c r="AA757" s="81"/>
      <c r="AB757" s="81"/>
      <c r="AC757" s="81"/>
      <c r="AD757" s="81"/>
      <c r="AE757" s="81"/>
      <c r="AF757" s="81"/>
    </row>
    <row r="758" spans="1:32">
      <c r="A758" s="76" t="s">
        <v>1492</v>
      </c>
      <c r="B758" s="79">
        <f>B765*2*0.15</f>
        <v>17400</v>
      </c>
      <c r="C758" s="79">
        <f>C765*2*0.15</f>
        <v>19890</v>
      </c>
      <c r="D758" s="79">
        <f>D765*2*0.15</f>
        <v>22380</v>
      </c>
      <c r="E758" s="79">
        <f>E765*2*0.15</f>
        <v>24855</v>
      </c>
      <c r="F758" s="79">
        <f>F765*2*0.15</f>
        <v>26850</v>
      </c>
      <c r="G758" s="79">
        <f t="shared" ref="G758:I758" si="1260">G765*2*0.15</f>
        <v>28845</v>
      </c>
      <c r="H758" s="79">
        <f t="shared" si="1260"/>
        <v>30825</v>
      </c>
      <c r="I758" s="79">
        <f t="shared" si="1260"/>
        <v>32820</v>
      </c>
      <c r="J758" s="80">
        <f t="shared" si="1253"/>
        <v>435</v>
      </c>
      <c r="K758" s="80">
        <f t="shared" si="1254"/>
        <v>466</v>
      </c>
      <c r="L758" s="80">
        <f t="shared" si="1255"/>
        <v>559</v>
      </c>
      <c r="M758" s="80">
        <f t="shared" si="1256"/>
        <v>646</v>
      </c>
      <c r="N758" s="80">
        <f t="shared" si="1257"/>
        <v>721</v>
      </c>
      <c r="O758" s="80">
        <f t="shared" si="1258"/>
        <v>795</v>
      </c>
      <c r="P758" s="81"/>
      <c r="Q758" s="81"/>
      <c r="R758" s="81"/>
      <c r="S758" s="81"/>
      <c r="T758" s="81"/>
      <c r="U758" s="81"/>
      <c r="V758" s="81"/>
      <c r="W758" s="81"/>
      <c r="X758" s="81"/>
      <c r="Y758" s="81"/>
      <c r="Z758" s="81"/>
      <c r="AA758" s="81"/>
      <c r="AB758" s="81"/>
      <c r="AC758" s="81"/>
      <c r="AD758" s="81"/>
      <c r="AE758" s="81"/>
      <c r="AF758" s="81"/>
    </row>
    <row r="759" spans="1:32">
      <c r="A759" s="76" t="s">
        <v>1493</v>
      </c>
      <c r="B759" s="79">
        <f>B765*2*0.2</f>
        <v>23200</v>
      </c>
      <c r="C759" s="79">
        <f t="shared" ref="C759:I759" si="1261">C765*2*0.2</f>
        <v>26520</v>
      </c>
      <c r="D759" s="79">
        <f t="shared" si="1261"/>
        <v>29840</v>
      </c>
      <c r="E759" s="79">
        <f t="shared" si="1261"/>
        <v>33140</v>
      </c>
      <c r="F759" s="79">
        <f t="shared" si="1261"/>
        <v>35800</v>
      </c>
      <c r="G759" s="79">
        <f t="shared" si="1261"/>
        <v>38460</v>
      </c>
      <c r="H759" s="79">
        <f t="shared" si="1261"/>
        <v>41100</v>
      </c>
      <c r="I759" s="79">
        <f t="shared" si="1261"/>
        <v>43760</v>
      </c>
      <c r="J759" s="80">
        <f t="shared" si="1253"/>
        <v>580</v>
      </c>
      <c r="K759" s="80">
        <f t="shared" si="1254"/>
        <v>621</v>
      </c>
      <c r="L759" s="80">
        <f t="shared" si="1255"/>
        <v>746</v>
      </c>
      <c r="M759" s="80">
        <f t="shared" si="1256"/>
        <v>861</v>
      </c>
      <c r="N759" s="80">
        <f t="shared" si="1257"/>
        <v>961</v>
      </c>
      <c r="O759" s="80">
        <f t="shared" si="1258"/>
        <v>1060</v>
      </c>
      <c r="P759" s="81"/>
      <c r="Q759" s="81"/>
      <c r="R759" s="81"/>
      <c r="S759" s="81"/>
      <c r="T759" s="81"/>
      <c r="U759" s="81"/>
      <c r="V759" s="81"/>
      <c r="W759" s="81"/>
      <c r="X759" s="81"/>
      <c r="Y759" s="81"/>
      <c r="Z759" s="81"/>
      <c r="AA759" s="81"/>
      <c r="AB759" s="81"/>
      <c r="AC759" s="81"/>
      <c r="AD759" s="81"/>
      <c r="AE759" s="81"/>
      <c r="AF759" s="81"/>
    </row>
    <row r="760" spans="1:32">
      <c r="A760" s="76" t="s">
        <v>1494</v>
      </c>
      <c r="B760" s="79">
        <f>B765*2*0.25</f>
        <v>29000</v>
      </c>
      <c r="C760" s="79">
        <f t="shared" ref="C760:I760" si="1262">C765*2*0.25</f>
        <v>33150</v>
      </c>
      <c r="D760" s="79">
        <f t="shared" si="1262"/>
        <v>37300</v>
      </c>
      <c r="E760" s="79">
        <f t="shared" si="1262"/>
        <v>41425</v>
      </c>
      <c r="F760" s="79">
        <f t="shared" si="1262"/>
        <v>44750</v>
      </c>
      <c r="G760" s="79">
        <f t="shared" si="1262"/>
        <v>48075</v>
      </c>
      <c r="H760" s="79">
        <f t="shared" si="1262"/>
        <v>51375</v>
      </c>
      <c r="I760" s="79">
        <f t="shared" si="1262"/>
        <v>54700</v>
      </c>
      <c r="J760" s="80">
        <f t="shared" si="1253"/>
        <v>725</v>
      </c>
      <c r="K760" s="80">
        <f t="shared" si="1254"/>
        <v>776</v>
      </c>
      <c r="L760" s="80">
        <f t="shared" si="1255"/>
        <v>932</v>
      </c>
      <c r="M760" s="80">
        <f t="shared" si="1256"/>
        <v>1077</v>
      </c>
      <c r="N760" s="80">
        <f t="shared" si="1257"/>
        <v>1201</v>
      </c>
      <c r="O760" s="80">
        <f t="shared" si="1258"/>
        <v>1325</v>
      </c>
      <c r="P760" s="81"/>
      <c r="Q760" s="81"/>
      <c r="R760" s="81"/>
      <c r="S760" s="81"/>
      <c r="T760" s="81"/>
      <c r="U760" s="81"/>
      <c r="V760" s="81"/>
      <c r="W760" s="81"/>
      <c r="X760" s="81"/>
      <c r="Y760" s="81"/>
      <c r="Z760" s="81"/>
      <c r="AA760" s="81"/>
      <c r="AB760" s="81"/>
      <c r="AC760" s="81"/>
      <c r="AD760" s="81"/>
      <c r="AE760" s="81"/>
      <c r="AF760" s="81"/>
    </row>
    <row r="761" spans="1:32">
      <c r="A761" s="76" t="s">
        <v>1495</v>
      </c>
      <c r="B761" s="79">
        <f>B765*2*0.3</f>
        <v>34800</v>
      </c>
      <c r="C761" s="79">
        <f t="shared" ref="C761:I761" si="1263">C765*2*0.3</f>
        <v>39780</v>
      </c>
      <c r="D761" s="79">
        <f t="shared" si="1263"/>
        <v>44760</v>
      </c>
      <c r="E761" s="79">
        <f t="shared" si="1263"/>
        <v>49710</v>
      </c>
      <c r="F761" s="79">
        <f t="shared" si="1263"/>
        <v>53700</v>
      </c>
      <c r="G761" s="79">
        <f t="shared" si="1263"/>
        <v>57690</v>
      </c>
      <c r="H761" s="79">
        <f t="shared" si="1263"/>
        <v>61650</v>
      </c>
      <c r="I761" s="79">
        <f t="shared" si="1263"/>
        <v>65640</v>
      </c>
      <c r="J761" s="80">
        <f t="shared" si="1253"/>
        <v>870</v>
      </c>
      <c r="K761" s="80">
        <f t="shared" si="1254"/>
        <v>932</v>
      </c>
      <c r="L761" s="80">
        <f t="shared" si="1255"/>
        <v>1119</v>
      </c>
      <c r="M761" s="80">
        <f t="shared" si="1256"/>
        <v>1292</v>
      </c>
      <c r="N761" s="80">
        <f t="shared" si="1257"/>
        <v>1442</v>
      </c>
      <c r="O761" s="80">
        <f t="shared" si="1258"/>
        <v>1591</v>
      </c>
      <c r="P761" s="81"/>
      <c r="Q761" s="81"/>
      <c r="R761" s="81"/>
      <c r="S761" s="81"/>
      <c r="T761" s="81"/>
      <c r="U761" s="81"/>
      <c r="V761" s="81"/>
      <c r="W761" s="81"/>
      <c r="X761" s="81"/>
      <c r="Y761" s="81"/>
      <c r="Z761" s="81"/>
      <c r="AA761" s="81"/>
      <c r="AB761" s="81"/>
      <c r="AC761" s="81"/>
      <c r="AD761" s="81"/>
      <c r="AE761" s="81"/>
      <c r="AF761" s="81"/>
    </row>
    <row r="762" spans="1:32">
      <c r="A762" s="76" t="s">
        <v>1496</v>
      </c>
      <c r="B762" s="79">
        <f>B765*2*0.35</f>
        <v>40600</v>
      </c>
      <c r="C762" s="79">
        <f t="shared" ref="C762:I762" si="1264">C765*2*0.35</f>
        <v>46410</v>
      </c>
      <c r="D762" s="79">
        <f t="shared" si="1264"/>
        <v>52220</v>
      </c>
      <c r="E762" s="79">
        <f t="shared" si="1264"/>
        <v>57994.999999999993</v>
      </c>
      <c r="F762" s="79">
        <f t="shared" si="1264"/>
        <v>62649.999999999993</v>
      </c>
      <c r="G762" s="79">
        <f t="shared" si="1264"/>
        <v>67305</v>
      </c>
      <c r="H762" s="79">
        <f t="shared" si="1264"/>
        <v>71925</v>
      </c>
      <c r="I762" s="79">
        <f t="shared" si="1264"/>
        <v>76580</v>
      </c>
      <c r="J762" s="80">
        <f t="shared" si="1253"/>
        <v>1015</v>
      </c>
      <c r="K762" s="80">
        <f t="shared" si="1254"/>
        <v>1087</v>
      </c>
      <c r="L762" s="80">
        <f t="shared" si="1255"/>
        <v>1305</v>
      </c>
      <c r="M762" s="80">
        <f t="shared" si="1256"/>
        <v>1508</v>
      </c>
      <c r="N762" s="80">
        <f t="shared" si="1257"/>
        <v>1682</v>
      </c>
      <c r="O762" s="80">
        <f t="shared" si="1258"/>
        <v>1856</v>
      </c>
      <c r="P762" s="81"/>
      <c r="Q762" s="81"/>
      <c r="R762" s="81"/>
      <c r="S762" s="81"/>
      <c r="T762" s="81"/>
      <c r="U762" s="81"/>
      <c r="V762" s="81"/>
      <c r="W762" s="81"/>
      <c r="X762" s="81"/>
      <c r="Y762" s="81"/>
      <c r="Z762" s="81"/>
      <c r="AA762" s="81"/>
      <c r="AB762" s="81"/>
      <c r="AC762" s="81"/>
      <c r="AD762" s="81"/>
      <c r="AE762" s="81"/>
      <c r="AF762" s="81"/>
    </row>
    <row r="763" spans="1:32">
      <c r="A763" s="76" t="s">
        <v>1497</v>
      </c>
      <c r="B763" s="79">
        <f>B765*2*0.4</f>
        <v>46400</v>
      </c>
      <c r="C763" s="79">
        <f t="shared" ref="C763:I763" si="1265">C765*2*0.4</f>
        <v>53040</v>
      </c>
      <c r="D763" s="79">
        <f t="shared" si="1265"/>
        <v>59680</v>
      </c>
      <c r="E763" s="79">
        <f t="shared" si="1265"/>
        <v>66280</v>
      </c>
      <c r="F763" s="79">
        <f t="shared" si="1265"/>
        <v>71600</v>
      </c>
      <c r="G763" s="79">
        <f t="shared" si="1265"/>
        <v>76920</v>
      </c>
      <c r="H763" s="79">
        <f t="shared" si="1265"/>
        <v>82200</v>
      </c>
      <c r="I763" s="79">
        <f t="shared" si="1265"/>
        <v>87520</v>
      </c>
      <c r="J763" s="80">
        <f t="shared" si="1253"/>
        <v>1160</v>
      </c>
      <c r="K763" s="80">
        <f t="shared" si="1254"/>
        <v>1243</v>
      </c>
      <c r="L763" s="80">
        <f t="shared" si="1255"/>
        <v>1492</v>
      </c>
      <c r="M763" s="80">
        <f t="shared" si="1256"/>
        <v>1723</v>
      </c>
      <c r="N763" s="80">
        <f t="shared" si="1257"/>
        <v>1923</v>
      </c>
      <c r="O763" s="80">
        <f t="shared" si="1258"/>
        <v>2121</v>
      </c>
      <c r="P763" s="81"/>
      <c r="Q763" s="81"/>
      <c r="R763" s="81"/>
      <c r="S763" s="81"/>
      <c r="T763" s="81"/>
      <c r="U763" s="81"/>
      <c r="V763" s="81"/>
      <c r="W763" s="81"/>
      <c r="X763" s="81"/>
      <c r="Y763" s="81"/>
      <c r="Z763" s="81"/>
      <c r="AA763" s="81"/>
      <c r="AB763" s="81"/>
      <c r="AC763" s="81"/>
      <c r="AD763" s="81"/>
      <c r="AE763" s="81"/>
      <c r="AF763" s="81"/>
    </row>
    <row r="764" spans="1:32">
      <c r="A764" s="76" t="s">
        <v>1498</v>
      </c>
      <c r="B764" s="79">
        <f>B765*2*0.45</f>
        <v>52200</v>
      </c>
      <c r="C764" s="79">
        <f t="shared" ref="C764:I764" si="1266">C765*2*0.45</f>
        <v>59670</v>
      </c>
      <c r="D764" s="79">
        <f t="shared" si="1266"/>
        <v>67140</v>
      </c>
      <c r="E764" s="79">
        <f t="shared" si="1266"/>
        <v>74565</v>
      </c>
      <c r="F764" s="79">
        <f t="shared" si="1266"/>
        <v>80550</v>
      </c>
      <c r="G764" s="79">
        <f t="shared" si="1266"/>
        <v>86535</v>
      </c>
      <c r="H764" s="79">
        <f t="shared" si="1266"/>
        <v>92475</v>
      </c>
      <c r="I764" s="79">
        <f t="shared" si="1266"/>
        <v>98460</v>
      </c>
      <c r="J764" s="80">
        <f t="shared" si="1253"/>
        <v>1305</v>
      </c>
      <c r="K764" s="80">
        <f t="shared" si="1254"/>
        <v>1398</v>
      </c>
      <c r="L764" s="80">
        <f t="shared" si="1255"/>
        <v>1678</v>
      </c>
      <c r="M764" s="80">
        <f t="shared" si="1256"/>
        <v>1938</v>
      </c>
      <c r="N764" s="80">
        <f t="shared" si="1257"/>
        <v>2163</v>
      </c>
      <c r="O764" s="80">
        <f t="shared" si="1258"/>
        <v>2386</v>
      </c>
      <c r="P764" s="81"/>
      <c r="Q764" s="81"/>
      <c r="R764" s="81"/>
      <c r="S764" s="81"/>
      <c r="T764" s="81"/>
      <c r="U764" s="81"/>
      <c r="V764" s="81"/>
      <c r="W764" s="81"/>
      <c r="X764" s="81"/>
      <c r="Y764" s="81"/>
      <c r="Z764" s="81"/>
      <c r="AA764" s="81"/>
      <c r="AB764" s="81"/>
      <c r="AC764" s="81"/>
      <c r="AD764" s="81"/>
      <c r="AE764" s="81"/>
      <c r="AF764" s="81"/>
    </row>
    <row r="765" spans="1:32">
      <c r="A765" s="82" t="s">
        <v>1499</v>
      </c>
      <c r="B765" s="84">
        <f>'MTSP 50% Income Limits '!B44</f>
        <v>58000</v>
      </c>
      <c r="C765" s="84">
        <f>'MTSP 50% Income Limits '!C44</f>
        <v>66300</v>
      </c>
      <c r="D765" s="84">
        <f>'MTSP 50% Income Limits '!D44</f>
        <v>74600</v>
      </c>
      <c r="E765" s="84">
        <f>'MTSP 50% Income Limits '!E44</f>
        <v>82850</v>
      </c>
      <c r="F765" s="84">
        <f>'MTSP 50% Income Limits '!F44</f>
        <v>89500</v>
      </c>
      <c r="G765" s="84">
        <f>'MTSP 50% Income Limits '!G44</f>
        <v>96150</v>
      </c>
      <c r="H765" s="84">
        <f>'MTSP 50% Income Limits '!H44</f>
        <v>102750</v>
      </c>
      <c r="I765" s="84">
        <f>'MTSP 50% Income Limits '!I44</f>
        <v>109400</v>
      </c>
      <c r="J765" s="83">
        <f>TRUNC(B765/12*0.3)</f>
        <v>1450</v>
      </c>
      <c r="K765" s="83">
        <f>TRUNC((B765+C765)/2/12*0.3)</f>
        <v>1553</v>
      </c>
      <c r="L765" s="83">
        <f>TRUNC((D765)/12*0.3)</f>
        <v>1865</v>
      </c>
      <c r="M765" s="83">
        <f>TRUNC(((E765+F765)/2)/12*0.3)</f>
        <v>2154</v>
      </c>
      <c r="N765" s="83">
        <f>TRUNC(G765/12*0.3)</f>
        <v>2403</v>
      </c>
      <c r="O765" s="83">
        <f>TRUNC(((H765+I765)/2)/12*0.3)</f>
        <v>2651</v>
      </c>
      <c r="P765" s="81"/>
      <c r="Q765" s="81"/>
      <c r="R765" s="81"/>
      <c r="S765" s="81"/>
      <c r="T765" s="81"/>
      <c r="U765" s="81"/>
      <c r="V765" s="81"/>
      <c r="W765" s="81"/>
      <c r="X765" s="81"/>
      <c r="Y765" s="81"/>
      <c r="Z765" s="81"/>
      <c r="AA765" s="81"/>
      <c r="AB765" s="81"/>
      <c r="AC765" s="81"/>
      <c r="AD765" s="81"/>
      <c r="AE765" s="81"/>
      <c r="AF765" s="81"/>
    </row>
    <row r="766" spans="1:32">
      <c r="A766" s="76" t="s">
        <v>1500</v>
      </c>
      <c r="B766" s="79">
        <f>B765*2*0.55</f>
        <v>63800.000000000007</v>
      </c>
      <c r="C766" s="79">
        <f t="shared" ref="C766:I766" si="1267">C765*2*0.55</f>
        <v>72930</v>
      </c>
      <c r="D766" s="79">
        <f t="shared" si="1267"/>
        <v>82060</v>
      </c>
      <c r="E766" s="79">
        <f t="shared" si="1267"/>
        <v>91135.000000000015</v>
      </c>
      <c r="F766" s="79">
        <f t="shared" si="1267"/>
        <v>98450.000000000015</v>
      </c>
      <c r="G766" s="79">
        <f t="shared" si="1267"/>
        <v>105765.00000000001</v>
      </c>
      <c r="H766" s="79">
        <f t="shared" si="1267"/>
        <v>113025.00000000001</v>
      </c>
      <c r="I766" s="79">
        <f t="shared" si="1267"/>
        <v>120340.00000000001</v>
      </c>
      <c r="J766" s="80">
        <f t="shared" ref="J766:J772" si="1268">TRUNC(B766/12*0.3)</f>
        <v>1595</v>
      </c>
      <c r="K766" s="80">
        <f t="shared" ref="K766:K772" si="1269">TRUNC((B766+C766)/2/12*0.3)</f>
        <v>1709</v>
      </c>
      <c r="L766" s="80">
        <f t="shared" ref="L766:L772" si="1270">TRUNC((D766)/12*0.3)</f>
        <v>2051</v>
      </c>
      <c r="M766" s="80">
        <f t="shared" ref="M766:M772" si="1271">TRUNC(((E766+F766)/2)/12*0.3)</f>
        <v>2369</v>
      </c>
      <c r="N766" s="80">
        <f t="shared" ref="N766:N772" si="1272">TRUNC(G766/12*0.3)</f>
        <v>2644</v>
      </c>
      <c r="O766" s="80">
        <f t="shared" ref="O766:O772" si="1273">TRUNC(((H766+I766)/2)/12*0.3)</f>
        <v>2917</v>
      </c>
      <c r="P766" s="81"/>
      <c r="Q766" s="81"/>
      <c r="R766" s="81"/>
      <c r="S766" s="81"/>
      <c r="T766" s="81"/>
      <c r="U766" s="81"/>
      <c r="V766" s="81"/>
      <c r="W766" s="81"/>
      <c r="X766" s="81"/>
      <c r="Y766" s="81"/>
      <c r="Z766" s="81"/>
      <c r="AA766" s="81"/>
      <c r="AB766" s="81"/>
      <c r="AC766" s="81"/>
      <c r="AD766" s="81"/>
      <c r="AE766" s="81"/>
      <c r="AF766" s="81"/>
    </row>
    <row r="767" spans="1:32">
      <c r="A767" s="76" t="s">
        <v>1501</v>
      </c>
      <c r="B767" s="79">
        <f>B765*2*0.6</f>
        <v>69600</v>
      </c>
      <c r="C767" s="79">
        <f t="shared" ref="C767:I767" si="1274">C765*2*0.6</f>
        <v>79560</v>
      </c>
      <c r="D767" s="79">
        <f t="shared" si="1274"/>
        <v>89520</v>
      </c>
      <c r="E767" s="79">
        <f t="shared" si="1274"/>
        <v>99420</v>
      </c>
      <c r="F767" s="79">
        <f t="shared" si="1274"/>
        <v>107400</v>
      </c>
      <c r="G767" s="79">
        <f t="shared" si="1274"/>
        <v>115380</v>
      </c>
      <c r="H767" s="79">
        <f t="shared" si="1274"/>
        <v>123300</v>
      </c>
      <c r="I767" s="79">
        <f t="shared" si="1274"/>
        <v>131280</v>
      </c>
      <c r="J767" s="80">
        <f t="shared" si="1268"/>
        <v>1740</v>
      </c>
      <c r="K767" s="80">
        <f t="shared" si="1269"/>
        <v>1864</v>
      </c>
      <c r="L767" s="80">
        <f t="shared" si="1270"/>
        <v>2238</v>
      </c>
      <c r="M767" s="80">
        <f t="shared" si="1271"/>
        <v>2585</v>
      </c>
      <c r="N767" s="80">
        <f t="shared" si="1272"/>
        <v>2884</v>
      </c>
      <c r="O767" s="80">
        <f t="shared" si="1273"/>
        <v>3182</v>
      </c>
      <c r="P767" s="81"/>
      <c r="Q767" s="81"/>
      <c r="R767" s="81"/>
      <c r="S767" s="81"/>
      <c r="T767" s="81"/>
      <c r="U767" s="81"/>
      <c r="V767" s="81"/>
      <c r="W767" s="81"/>
      <c r="X767" s="81"/>
      <c r="Y767" s="81"/>
      <c r="Z767" s="81"/>
      <c r="AA767" s="81"/>
      <c r="AB767" s="81"/>
      <c r="AC767" s="81"/>
      <c r="AD767" s="81"/>
      <c r="AE767" s="81"/>
      <c r="AF767" s="81"/>
    </row>
    <row r="768" spans="1:32">
      <c r="A768" s="76" t="s">
        <v>1502</v>
      </c>
      <c r="B768" s="79">
        <f>B765*2*0.65</f>
        <v>75400</v>
      </c>
      <c r="C768" s="79">
        <f t="shared" ref="C768:I768" si="1275">C765*2*0.65</f>
        <v>86190</v>
      </c>
      <c r="D768" s="79">
        <f t="shared" si="1275"/>
        <v>96980</v>
      </c>
      <c r="E768" s="79">
        <f t="shared" si="1275"/>
        <v>107705</v>
      </c>
      <c r="F768" s="79">
        <f t="shared" si="1275"/>
        <v>116350</v>
      </c>
      <c r="G768" s="79">
        <f t="shared" si="1275"/>
        <v>124995</v>
      </c>
      <c r="H768" s="79">
        <f t="shared" si="1275"/>
        <v>133575</v>
      </c>
      <c r="I768" s="79">
        <f t="shared" si="1275"/>
        <v>142220</v>
      </c>
      <c r="J768" s="80">
        <f t="shared" si="1268"/>
        <v>1885</v>
      </c>
      <c r="K768" s="80">
        <f t="shared" si="1269"/>
        <v>2019</v>
      </c>
      <c r="L768" s="80">
        <f t="shared" si="1270"/>
        <v>2424</v>
      </c>
      <c r="M768" s="80">
        <f t="shared" si="1271"/>
        <v>2800</v>
      </c>
      <c r="N768" s="80">
        <f t="shared" si="1272"/>
        <v>3124</v>
      </c>
      <c r="O768" s="80">
        <f t="shared" si="1273"/>
        <v>3447</v>
      </c>
      <c r="P768" s="81"/>
      <c r="Q768" s="81"/>
      <c r="R768" s="81"/>
      <c r="S768" s="81"/>
      <c r="T768" s="81"/>
      <c r="U768" s="81"/>
      <c r="V768" s="81"/>
      <c r="W768" s="81"/>
      <c r="X768" s="81"/>
      <c r="Y768" s="81"/>
      <c r="Z768" s="81"/>
      <c r="AA768" s="81"/>
      <c r="AB768" s="81"/>
      <c r="AC768" s="81"/>
      <c r="AD768" s="81"/>
      <c r="AE768" s="81"/>
      <c r="AF768" s="81"/>
    </row>
    <row r="769" spans="1:32">
      <c r="A769" s="76" t="s">
        <v>1503</v>
      </c>
      <c r="B769" s="79">
        <f>B765*2*0.7</f>
        <v>81200</v>
      </c>
      <c r="C769" s="79">
        <f t="shared" ref="C769:I769" si="1276">C765*2*0.7</f>
        <v>92820</v>
      </c>
      <c r="D769" s="79">
        <f t="shared" si="1276"/>
        <v>104440</v>
      </c>
      <c r="E769" s="79">
        <f t="shared" si="1276"/>
        <v>115989.99999999999</v>
      </c>
      <c r="F769" s="79">
        <f t="shared" si="1276"/>
        <v>125299.99999999999</v>
      </c>
      <c r="G769" s="79">
        <f t="shared" si="1276"/>
        <v>134610</v>
      </c>
      <c r="H769" s="79">
        <f t="shared" si="1276"/>
        <v>143850</v>
      </c>
      <c r="I769" s="79">
        <f t="shared" si="1276"/>
        <v>153160</v>
      </c>
      <c r="J769" s="80">
        <f t="shared" si="1268"/>
        <v>2030</v>
      </c>
      <c r="K769" s="80">
        <f t="shared" si="1269"/>
        <v>2175</v>
      </c>
      <c r="L769" s="80">
        <f t="shared" si="1270"/>
        <v>2611</v>
      </c>
      <c r="M769" s="80">
        <f t="shared" si="1271"/>
        <v>3016</v>
      </c>
      <c r="N769" s="80">
        <f t="shared" si="1272"/>
        <v>3365</v>
      </c>
      <c r="O769" s="80">
        <f t="shared" si="1273"/>
        <v>3712</v>
      </c>
      <c r="P769" s="81"/>
      <c r="Q769" s="81"/>
      <c r="R769" s="81"/>
      <c r="S769" s="81"/>
      <c r="T769" s="81"/>
      <c r="U769" s="81"/>
      <c r="V769" s="81"/>
      <c r="W769" s="81"/>
      <c r="X769" s="81"/>
      <c r="Y769" s="81"/>
      <c r="Z769" s="81"/>
      <c r="AA769" s="81"/>
      <c r="AB769" s="81"/>
      <c r="AC769" s="81"/>
      <c r="AD769" s="81"/>
      <c r="AE769" s="81"/>
      <c r="AF769" s="81"/>
    </row>
    <row r="770" spans="1:32">
      <c r="A770" s="76" t="s">
        <v>1504</v>
      </c>
      <c r="B770" s="79">
        <f>B765*2*0.75</f>
        <v>87000</v>
      </c>
      <c r="C770" s="79">
        <f t="shared" ref="C770:I770" si="1277">C765*2*0.75</f>
        <v>99450</v>
      </c>
      <c r="D770" s="79">
        <f t="shared" si="1277"/>
        <v>111900</v>
      </c>
      <c r="E770" s="79">
        <f t="shared" si="1277"/>
        <v>124275</v>
      </c>
      <c r="F770" s="79">
        <f t="shared" si="1277"/>
        <v>134250</v>
      </c>
      <c r="G770" s="79">
        <f t="shared" si="1277"/>
        <v>144225</v>
      </c>
      <c r="H770" s="79">
        <f t="shared" si="1277"/>
        <v>154125</v>
      </c>
      <c r="I770" s="79">
        <f t="shared" si="1277"/>
        <v>164100</v>
      </c>
      <c r="J770" s="80">
        <f t="shared" si="1268"/>
        <v>2175</v>
      </c>
      <c r="K770" s="80">
        <f t="shared" si="1269"/>
        <v>2330</v>
      </c>
      <c r="L770" s="80">
        <f t="shared" si="1270"/>
        <v>2797</v>
      </c>
      <c r="M770" s="80">
        <f t="shared" si="1271"/>
        <v>3231</v>
      </c>
      <c r="N770" s="80">
        <f t="shared" si="1272"/>
        <v>3605</v>
      </c>
      <c r="O770" s="80">
        <f t="shared" si="1273"/>
        <v>3977</v>
      </c>
      <c r="P770" s="81"/>
      <c r="Q770" s="81"/>
      <c r="R770" s="81"/>
      <c r="S770" s="81"/>
      <c r="T770" s="81"/>
      <c r="U770" s="81"/>
      <c r="V770" s="81"/>
      <c r="W770" s="81"/>
      <c r="X770" s="81"/>
      <c r="Y770" s="81"/>
      <c r="Z770" s="81"/>
      <c r="AA770" s="81"/>
      <c r="AB770" s="81"/>
      <c r="AC770" s="81"/>
      <c r="AD770" s="81"/>
      <c r="AE770" s="81"/>
      <c r="AF770" s="81"/>
    </row>
    <row r="771" spans="1:32">
      <c r="A771" s="76" t="s">
        <v>1505</v>
      </c>
      <c r="B771" s="79">
        <f>B765*2*0.8</f>
        <v>92800</v>
      </c>
      <c r="C771" s="79">
        <f t="shared" ref="C771:I771" si="1278">C765*2*0.8</f>
        <v>106080</v>
      </c>
      <c r="D771" s="79">
        <f t="shared" si="1278"/>
        <v>119360</v>
      </c>
      <c r="E771" s="79">
        <f t="shared" si="1278"/>
        <v>132560</v>
      </c>
      <c r="F771" s="79">
        <f t="shared" si="1278"/>
        <v>143200</v>
      </c>
      <c r="G771" s="79">
        <f t="shared" si="1278"/>
        <v>153840</v>
      </c>
      <c r="H771" s="79">
        <f t="shared" si="1278"/>
        <v>164400</v>
      </c>
      <c r="I771" s="79">
        <f t="shared" si="1278"/>
        <v>175040</v>
      </c>
      <c r="J771" s="80">
        <f t="shared" si="1268"/>
        <v>2320</v>
      </c>
      <c r="K771" s="80">
        <f t="shared" si="1269"/>
        <v>2486</v>
      </c>
      <c r="L771" s="80">
        <f t="shared" si="1270"/>
        <v>2984</v>
      </c>
      <c r="M771" s="80">
        <f t="shared" si="1271"/>
        <v>3447</v>
      </c>
      <c r="N771" s="80">
        <f t="shared" si="1272"/>
        <v>3846</v>
      </c>
      <c r="O771" s="80">
        <f t="shared" si="1273"/>
        <v>4243</v>
      </c>
      <c r="P771" s="81"/>
      <c r="Q771" s="81"/>
      <c r="R771" s="81"/>
      <c r="S771" s="81"/>
      <c r="T771" s="81"/>
      <c r="U771" s="81"/>
      <c r="V771" s="81"/>
      <c r="W771" s="81"/>
      <c r="X771" s="81"/>
      <c r="Y771" s="81"/>
      <c r="Z771" s="81"/>
      <c r="AA771" s="81"/>
      <c r="AB771" s="81"/>
      <c r="AC771" s="81"/>
      <c r="AD771" s="81"/>
      <c r="AE771" s="81"/>
      <c r="AF771" s="81"/>
    </row>
    <row r="772" spans="1:32">
      <c r="A772" s="76" t="s">
        <v>1506</v>
      </c>
      <c r="B772" s="79">
        <f>B765*2*0.9</f>
        <v>104400</v>
      </c>
      <c r="C772" s="79">
        <f t="shared" ref="C772:I772" si="1279">C765*2*0.9</f>
        <v>119340</v>
      </c>
      <c r="D772" s="79">
        <f t="shared" si="1279"/>
        <v>134280</v>
      </c>
      <c r="E772" s="79">
        <f t="shared" si="1279"/>
        <v>149130</v>
      </c>
      <c r="F772" s="79">
        <f t="shared" si="1279"/>
        <v>161100</v>
      </c>
      <c r="G772" s="79">
        <f t="shared" si="1279"/>
        <v>173070</v>
      </c>
      <c r="H772" s="79">
        <f t="shared" si="1279"/>
        <v>184950</v>
      </c>
      <c r="I772" s="79">
        <f t="shared" si="1279"/>
        <v>196920</v>
      </c>
      <c r="J772" s="80">
        <f t="shared" si="1268"/>
        <v>2610</v>
      </c>
      <c r="K772" s="80">
        <f t="shared" si="1269"/>
        <v>2796</v>
      </c>
      <c r="L772" s="80">
        <f t="shared" si="1270"/>
        <v>3357</v>
      </c>
      <c r="M772" s="80">
        <f t="shared" si="1271"/>
        <v>3877</v>
      </c>
      <c r="N772" s="80">
        <f t="shared" si="1272"/>
        <v>4326</v>
      </c>
      <c r="O772" s="80">
        <f t="shared" si="1273"/>
        <v>4773</v>
      </c>
      <c r="P772" s="81"/>
      <c r="Q772" s="81"/>
      <c r="R772" s="81"/>
      <c r="S772" s="81"/>
      <c r="T772" s="81"/>
      <c r="U772" s="81"/>
      <c r="V772" s="81"/>
      <c r="W772" s="81"/>
      <c r="X772" s="81"/>
      <c r="Y772" s="81"/>
      <c r="Z772" s="81"/>
      <c r="AA772" s="81"/>
      <c r="AB772" s="81"/>
      <c r="AC772" s="81"/>
      <c r="AD772" s="81"/>
      <c r="AE772" s="81"/>
      <c r="AF772" s="81"/>
    </row>
    <row r="773" spans="1:32">
      <c r="A773" s="76" t="s">
        <v>1507</v>
      </c>
      <c r="B773" s="79">
        <f>B765*2</f>
        <v>116000</v>
      </c>
      <c r="C773" s="79">
        <f t="shared" ref="C773:I773" si="1280">C765*2</f>
        <v>132600</v>
      </c>
      <c r="D773" s="79">
        <f t="shared" si="1280"/>
        <v>149200</v>
      </c>
      <c r="E773" s="79">
        <f t="shared" si="1280"/>
        <v>165700</v>
      </c>
      <c r="F773" s="79">
        <f t="shared" si="1280"/>
        <v>179000</v>
      </c>
      <c r="G773" s="79">
        <f t="shared" si="1280"/>
        <v>192300</v>
      </c>
      <c r="H773" s="79">
        <f t="shared" si="1280"/>
        <v>205500</v>
      </c>
      <c r="I773" s="79">
        <f t="shared" si="1280"/>
        <v>218800</v>
      </c>
      <c r="J773" s="80">
        <f>J765*2</f>
        <v>2900</v>
      </c>
      <c r="K773" s="80">
        <f t="shared" ref="K773:O773" si="1281">K765*2</f>
        <v>3106</v>
      </c>
      <c r="L773" s="80">
        <f t="shared" si="1281"/>
        <v>3730</v>
      </c>
      <c r="M773" s="80">
        <f t="shared" si="1281"/>
        <v>4308</v>
      </c>
      <c r="N773" s="80">
        <f t="shared" si="1281"/>
        <v>4806</v>
      </c>
      <c r="O773" s="80">
        <f t="shared" si="1281"/>
        <v>5302</v>
      </c>
      <c r="P773" s="81"/>
      <c r="Q773" s="81"/>
      <c r="R773" s="81"/>
      <c r="S773" s="81"/>
      <c r="T773" s="81"/>
      <c r="U773" s="81"/>
      <c r="V773" s="81"/>
      <c r="W773" s="81"/>
      <c r="X773" s="81"/>
      <c r="Y773" s="81"/>
      <c r="Z773" s="81"/>
      <c r="AA773" s="81"/>
      <c r="AB773" s="81"/>
      <c r="AC773" s="81"/>
      <c r="AD773" s="81"/>
      <c r="AE773" s="81"/>
      <c r="AF773" s="81"/>
    </row>
    <row r="774" spans="1:32">
      <c r="A774" s="76" t="s">
        <v>1508</v>
      </c>
      <c r="B774" s="79">
        <f>B765*2*1.1</f>
        <v>127600.00000000001</v>
      </c>
      <c r="C774" s="79">
        <f t="shared" ref="C774:I774" si="1282">C765*2*1.1</f>
        <v>145860</v>
      </c>
      <c r="D774" s="79">
        <f t="shared" si="1282"/>
        <v>164120</v>
      </c>
      <c r="E774" s="79">
        <f t="shared" si="1282"/>
        <v>182270.00000000003</v>
      </c>
      <c r="F774" s="79">
        <f t="shared" si="1282"/>
        <v>196900.00000000003</v>
      </c>
      <c r="G774" s="79">
        <f t="shared" si="1282"/>
        <v>211530.00000000003</v>
      </c>
      <c r="H774" s="79">
        <f t="shared" si="1282"/>
        <v>226050.00000000003</v>
      </c>
      <c r="I774" s="79">
        <f t="shared" si="1282"/>
        <v>240680.00000000003</v>
      </c>
      <c r="J774" s="80">
        <f t="shared" ref="J774:J782" si="1283">TRUNC(B774/12*0.3)</f>
        <v>3190</v>
      </c>
      <c r="K774" s="80">
        <f t="shared" ref="K774:K782" si="1284">TRUNC((B774+C774)/2/12*0.3)</f>
        <v>3418</v>
      </c>
      <c r="L774" s="80">
        <f t="shared" ref="L774:L782" si="1285">TRUNC((D774)/12*0.3)</f>
        <v>4103</v>
      </c>
      <c r="M774" s="80">
        <f t="shared" ref="M774:M782" si="1286">TRUNC(((E774+F774)/2)/12*0.3)</f>
        <v>4739</v>
      </c>
      <c r="N774" s="80">
        <f t="shared" ref="N774:N782" si="1287">TRUNC(G774/12*0.3)</f>
        <v>5288</v>
      </c>
      <c r="O774" s="80">
        <f t="shared" ref="O774:O782" si="1288">TRUNC(((H774+I774)/2)/12*0.3)</f>
        <v>5834</v>
      </c>
      <c r="P774" s="81"/>
      <c r="Q774" s="81"/>
      <c r="R774" s="81"/>
      <c r="S774" s="81"/>
      <c r="T774" s="81"/>
      <c r="U774" s="81"/>
      <c r="V774" s="81"/>
      <c r="W774" s="81"/>
      <c r="X774" s="81"/>
      <c r="Y774" s="81"/>
      <c r="Z774" s="81"/>
      <c r="AA774" s="81"/>
      <c r="AB774" s="81"/>
      <c r="AC774" s="81"/>
      <c r="AD774" s="81"/>
      <c r="AE774" s="81"/>
      <c r="AF774" s="81"/>
    </row>
    <row r="775" spans="1:32">
      <c r="A775" s="76" t="s">
        <v>1509</v>
      </c>
      <c r="B775" s="79">
        <f>B765*2*1.2</f>
        <v>139200</v>
      </c>
      <c r="C775" s="79">
        <f t="shared" ref="C775:I775" si="1289">C765*2*1.2</f>
        <v>159120</v>
      </c>
      <c r="D775" s="79">
        <f t="shared" si="1289"/>
        <v>179040</v>
      </c>
      <c r="E775" s="79">
        <f t="shared" si="1289"/>
        <v>198840</v>
      </c>
      <c r="F775" s="79">
        <f t="shared" si="1289"/>
        <v>214800</v>
      </c>
      <c r="G775" s="79">
        <f t="shared" si="1289"/>
        <v>230760</v>
      </c>
      <c r="H775" s="79">
        <f t="shared" si="1289"/>
        <v>246600</v>
      </c>
      <c r="I775" s="79">
        <f t="shared" si="1289"/>
        <v>262560</v>
      </c>
      <c r="J775" s="80">
        <f t="shared" si="1283"/>
        <v>3480</v>
      </c>
      <c r="K775" s="80">
        <f t="shared" si="1284"/>
        <v>3729</v>
      </c>
      <c r="L775" s="80">
        <f t="shared" si="1285"/>
        <v>4476</v>
      </c>
      <c r="M775" s="80">
        <f t="shared" si="1286"/>
        <v>5170</v>
      </c>
      <c r="N775" s="80">
        <f t="shared" si="1287"/>
        <v>5769</v>
      </c>
      <c r="O775" s="80">
        <f t="shared" si="1288"/>
        <v>6364</v>
      </c>
      <c r="P775" s="81"/>
      <c r="Q775" s="81"/>
      <c r="R775" s="81"/>
      <c r="S775" s="81"/>
      <c r="T775" s="81"/>
      <c r="U775" s="81"/>
      <c r="V775" s="81"/>
      <c r="W775" s="81"/>
      <c r="X775" s="81"/>
      <c r="Y775" s="81"/>
      <c r="Z775" s="81"/>
      <c r="AA775" s="81"/>
      <c r="AB775" s="81"/>
      <c r="AC775" s="81"/>
      <c r="AD775" s="81"/>
      <c r="AE775" s="81"/>
      <c r="AF775" s="81"/>
    </row>
    <row r="776" spans="1:32">
      <c r="A776" s="76" t="s">
        <v>1510</v>
      </c>
      <c r="B776" s="79">
        <f>B783*2*0.15</f>
        <v>14595</v>
      </c>
      <c r="C776" s="79">
        <f>C783*2*0.15</f>
        <v>16680</v>
      </c>
      <c r="D776" s="79">
        <f>D783*2*0.15</f>
        <v>18765</v>
      </c>
      <c r="E776" s="79">
        <f>E783*2*0.15</f>
        <v>20850</v>
      </c>
      <c r="F776" s="79">
        <f>F783*2*0.15</f>
        <v>22530</v>
      </c>
      <c r="G776" s="79">
        <f t="shared" ref="G776:I776" si="1290">G783*2*0.15</f>
        <v>24195</v>
      </c>
      <c r="H776" s="79">
        <f t="shared" si="1290"/>
        <v>25860</v>
      </c>
      <c r="I776" s="79">
        <f t="shared" si="1290"/>
        <v>27525</v>
      </c>
      <c r="J776" s="80">
        <f t="shared" si="1283"/>
        <v>364</v>
      </c>
      <c r="K776" s="80">
        <f t="shared" si="1284"/>
        <v>390</v>
      </c>
      <c r="L776" s="80">
        <f t="shared" si="1285"/>
        <v>469</v>
      </c>
      <c r="M776" s="80">
        <f t="shared" si="1286"/>
        <v>542</v>
      </c>
      <c r="N776" s="80">
        <f t="shared" si="1287"/>
        <v>604</v>
      </c>
      <c r="O776" s="80">
        <f t="shared" si="1288"/>
        <v>667</v>
      </c>
      <c r="P776" s="81"/>
      <c r="Q776" s="81"/>
      <c r="R776" s="81"/>
      <c r="S776" s="81"/>
      <c r="T776" s="81"/>
      <c r="U776" s="81"/>
      <c r="V776" s="81"/>
      <c r="W776" s="81"/>
      <c r="X776" s="81"/>
      <c r="Y776" s="81"/>
      <c r="Z776" s="81"/>
      <c r="AA776" s="81"/>
      <c r="AB776" s="81"/>
      <c r="AC776" s="81"/>
      <c r="AD776" s="81"/>
      <c r="AE776" s="81"/>
      <c r="AF776" s="81"/>
    </row>
    <row r="777" spans="1:32">
      <c r="A777" s="76" t="s">
        <v>1511</v>
      </c>
      <c r="B777" s="79">
        <f>B783*2*0.2</f>
        <v>19460</v>
      </c>
      <c r="C777" s="79">
        <f t="shared" ref="C777:I777" si="1291">C783*2*0.2</f>
        <v>22240</v>
      </c>
      <c r="D777" s="79">
        <f t="shared" si="1291"/>
        <v>25020</v>
      </c>
      <c r="E777" s="79">
        <f t="shared" si="1291"/>
        <v>27800</v>
      </c>
      <c r="F777" s="79">
        <f t="shared" si="1291"/>
        <v>30040</v>
      </c>
      <c r="G777" s="79">
        <f t="shared" si="1291"/>
        <v>32260</v>
      </c>
      <c r="H777" s="79">
        <f t="shared" si="1291"/>
        <v>34480</v>
      </c>
      <c r="I777" s="79">
        <f t="shared" si="1291"/>
        <v>36700</v>
      </c>
      <c r="J777" s="80">
        <f t="shared" si="1283"/>
        <v>486</v>
      </c>
      <c r="K777" s="80">
        <f t="shared" si="1284"/>
        <v>521</v>
      </c>
      <c r="L777" s="80">
        <f t="shared" si="1285"/>
        <v>625</v>
      </c>
      <c r="M777" s="80">
        <f t="shared" si="1286"/>
        <v>723</v>
      </c>
      <c r="N777" s="80">
        <f t="shared" si="1287"/>
        <v>806</v>
      </c>
      <c r="O777" s="80">
        <f t="shared" si="1288"/>
        <v>889</v>
      </c>
      <c r="P777" s="81"/>
      <c r="Q777" s="81"/>
      <c r="R777" s="81"/>
      <c r="S777" s="81"/>
      <c r="T777" s="81"/>
      <c r="U777" s="81"/>
      <c r="V777" s="81"/>
      <c r="W777" s="81"/>
      <c r="X777" s="81"/>
      <c r="Y777" s="81"/>
      <c r="Z777" s="81"/>
      <c r="AA777" s="81"/>
      <c r="AB777" s="81"/>
      <c r="AC777" s="81"/>
      <c r="AD777" s="81"/>
      <c r="AE777" s="81"/>
      <c r="AF777" s="81"/>
    </row>
    <row r="778" spans="1:32">
      <c r="A778" s="76" t="s">
        <v>1512</v>
      </c>
      <c r="B778" s="79">
        <f>B783*2*0.25</f>
        <v>24325</v>
      </c>
      <c r="C778" s="79">
        <f t="shared" ref="C778:I778" si="1292">C783*2*0.25</f>
        <v>27800</v>
      </c>
      <c r="D778" s="79">
        <f t="shared" si="1292"/>
        <v>31275</v>
      </c>
      <c r="E778" s="79">
        <f t="shared" si="1292"/>
        <v>34750</v>
      </c>
      <c r="F778" s="79">
        <f t="shared" si="1292"/>
        <v>37550</v>
      </c>
      <c r="G778" s="79">
        <f t="shared" si="1292"/>
        <v>40325</v>
      </c>
      <c r="H778" s="79">
        <f t="shared" si="1292"/>
        <v>43100</v>
      </c>
      <c r="I778" s="79">
        <f t="shared" si="1292"/>
        <v>45875</v>
      </c>
      <c r="J778" s="80">
        <f t="shared" si="1283"/>
        <v>608</v>
      </c>
      <c r="K778" s="80">
        <f t="shared" si="1284"/>
        <v>651</v>
      </c>
      <c r="L778" s="80">
        <f t="shared" si="1285"/>
        <v>781</v>
      </c>
      <c r="M778" s="80">
        <f t="shared" si="1286"/>
        <v>903</v>
      </c>
      <c r="N778" s="80">
        <f t="shared" si="1287"/>
        <v>1008</v>
      </c>
      <c r="O778" s="80">
        <f t="shared" si="1288"/>
        <v>1112</v>
      </c>
      <c r="P778" s="81"/>
      <c r="Q778" s="81"/>
      <c r="R778" s="81"/>
      <c r="S778" s="81"/>
      <c r="T778" s="81"/>
      <c r="U778" s="81"/>
      <c r="V778" s="81"/>
      <c r="W778" s="81"/>
      <c r="X778" s="81"/>
      <c r="Y778" s="81"/>
      <c r="Z778" s="81"/>
      <c r="AA778" s="81"/>
      <c r="AB778" s="81"/>
      <c r="AC778" s="81"/>
      <c r="AD778" s="81"/>
      <c r="AE778" s="81"/>
      <c r="AF778" s="81"/>
    </row>
    <row r="779" spans="1:32">
      <c r="A779" s="76" t="s">
        <v>1513</v>
      </c>
      <c r="B779" s="79">
        <f>B783*2*0.3</f>
        <v>29190</v>
      </c>
      <c r="C779" s="79">
        <f t="shared" ref="C779:I779" si="1293">C783*2*0.3</f>
        <v>33360</v>
      </c>
      <c r="D779" s="79">
        <f t="shared" si="1293"/>
        <v>37530</v>
      </c>
      <c r="E779" s="79">
        <f t="shared" si="1293"/>
        <v>41700</v>
      </c>
      <c r="F779" s="79">
        <f t="shared" si="1293"/>
        <v>45060</v>
      </c>
      <c r="G779" s="79">
        <f t="shared" si="1293"/>
        <v>48390</v>
      </c>
      <c r="H779" s="79">
        <f t="shared" si="1293"/>
        <v>51720</v>
      </c>
      <c r="I779" s="79">
        <f t="shared" si="1293"/>
        <v>55050</v>
      </c>
      <c r="J779" s="80">
        <f t="shared" si="1283"/>
        <v>729</v>
      </c>
      <c r="K779" s="80">
        <f t="shared" si="1284"/>
        <v>781</v>
      </c>
      <c r="L779" s="80">
        <f t="shared" si="1285"/>
        <v>938</v>
      </c>
      <c r="M779" s="80">
        <f t="shared" si="1286"/>
        <v>1084</v>
      </c>
      <c r="N779" s="80">
        <f t="shared" si="1287"/>
        <v>1209</v>
      </c>
      <c r="O779" s="80">
        <f t="shared" si="1288"/>
        <v>1334</v>
      </c>
      <c r="P779" s="81"/>
      <c r="Q779" s="81"/>
      <c r="R779" s="81"/>
      <c r="S779" s="81"/>
      <c r="T779" s="81"/>
      <c r="U779" s="81"/>
      <c r="V779" s="81"/>
      <c r="W779" s="81"/>
      <c r="X779" s="81"/>
      <c r="Y779" s="81"/>
      <c r="Z779" s="81"/>
      <c r="AA779" s="81"/>
      <c r="AB779" s="81"/>
      <c r="AC779" s="81"/>
      <c r="AD779" s="81"/>
      <c r="AE779" s="81"/>
      <c r="AF779" s="81"/>
    </row>
    <row r="780" spans="1:32">
      <c r="A780" s="76" t="s">
        <v>1514</v>
      </c>
      <c r="B780" s="79">
        <f>B783*2*0.35</f>
        <v>34055</v>
      </c>
      <c r="C780" s="79">
        <f t="shared" ref="C780:I780" si="1294">C783*2*0.35</f>
        <v>38920</v>
      </c>
      <c r="D780" s="79">
        <f t="shared" si="1294"/>
        <v>43785</v>
      </c>
      <c r="E780" s="79">
        <f t="shared" si="1294"/>
        <v>48650</v>
      </c>
      <c r="F780" s="79">
        <f t="shared" si="1294"/>
        <v>52570</v>
      </c>
      <c r="G780" s="79">
        <f t="shared" si="1294"/>
        <v>56455</v>
      </c>
      <c r="H780" s="79">
        <f t="shared" si="1294"/>
        <v>60339.999999999993</v>
      </c>
      <c r="I780" s="79">
        <f t="shared" si="1294"/>
        <v>64224.999999999993</v>
      </c>
      <c r="J780" s="80">
        <f t="shared" si="1283"/>
        <v>851</v>
      </c>
      <c r="K780" s="80">
        <f t="shared" si="1284"/>
        <v>912</v>
      </c>
      <c r="L780" s="80">
        <f t="shared" si="1285"/>
        <v>1094</v>
      </c>
      <c r="M780" s="80">
        <f t="shared" si="1286"/>
        <v>1265</v>
      </c>
      <c r="N780" s="80">
        <f t="shared" si="1287"/>
        <v>1411</v>
      </c>
      <c r="O780" s="80">
        <f t="shared" si="1288"/>
        <v>1557</v>
      </c>
      <c r="P780" s="81"/>
      <c r="Q780" s="81"/>
      <c r="R780" s="81"/>
      <c r="S780" s="81"/>
      <c r="T780" s="81"/>
      <c r="U780" s="81"/>
      <c r="V780" s="81"/>
      <c r="W780" s="81"/>
      <c r="X780" s="81"/>
      <c r="Y780" s="81"/>
      <c r="Z780" s="81"/>
      <c r="AA780" s="81"/>
      <c r="AB780" s="81"/>
      <c r="AC780" s="81"/>
      <c r="AD780" s="81"/>
      <c r="AE780" s="81"/>
      <c r="AF780" s="81"/>
    </row>
    <row r="781" spans="1:32">
      <c r="A781" s="76" t="s">
        <v>1515</v>
      </c>
      <c r="B781" s="79">
        <f>B783*2*0.4</f>
        <v>38920</v>
      </c>
      <c r="C781" s="79">
        <f t="shared" ref="C781:I781" si="1295">C783*2*0.4</f>
        <v>44480</v>
      </c>
      <c r="D781" s="79">
        <f t="shared" si="1295"/>
        <v>50040</v>
      </c>
      <c r="E781" s="79">
        <f t="shared" si="1295"/>
        <v>55600</v>
      </c>
      <c r="F781" s="79">
        <f t="shared" si="1295"/>
        <v>60080</v>
      </c>
      <c r="G781" s="79">
        <f t="shared" si="1295"/>
        <v>64520</v>
      </c>
      <c r="H781" s="79">
        <f t="shared" si="1295"/>
        <v>68960</v>
      </c>
      <c r="I781" s="79">
        <f t="shared" si="1295"/>
        <v>73400</v>
      </c>
      <c r="J781" s="80">
        <f t="shared" si="1283"/>
        <v>973</v>
      </c>
      <c r="K781" s="80">
        <f t="shared" si="1284"/>
        <v>1042</v>
      </c>
      <c r="L781" s="80">
        <f t="shared" si="1285"/>
        <v>1251</v>
      </c>
      <c r="M781" s="80">
        <f t="shared" si="1286"/>
        <v>1446</v>
      </c>
      <c r="N781" s="80">
        <f t="shared" si="1287"/>
        <v>1613</v>
      </c>
      <c r="O781" s="80">
        <f t="shared" si="1288"/>
        <v>1779</v>
      </c>
      <c r="P781" s="81"/>
      <c r="Q781" s="81"/>
      <c r="R781" s="81"/>
      <c r="S781" s="81"/>
      <c r="T781" s="81"/>
      <c r="U781" s="81"/>
      <c r="V781" s="81"/>
      <c r="W781" s="81"/>
      <c r="X781" s="81"/>
      <c r="Y781" s="81"/>
      <c r="Z781" s="81"/>
      <c r="AA781" s="81"/>
      <c r="AB781" s="81"/>
      <c r="AC781" s="81"/>
      <c r="AD781" s="81"/>
      <c r="AE781" s="81"/>
      <c r="AF781" s="81"/>
    </row>
    <row r="782" spans="1:32">
      <c r="A782" s="76" t="s">
        <v>1516</v>
      </c>
      <c r="B782" s="79">
        <f>B783*2*0.45</f>
        <v>43785</v>
      </c>
      <c r="C782" s="79">
        <f t="shared" ref="C782:I782" si="1296">C783*2*0.45</f>
        <v>50040</v>
      </c>
      <c r="D782" s="79">
        <f t="shared" si="1296"/>
        <v>56295</v>
      </c>
      <c r="E782" s="79">
        <f t="shared" si="1296"/>
        <v>62550</v>
      </c>
      <c r="F782" s="79">
        <f t="shared" si="1296"/>
        <v>67590</v>
      </c>
      <c r="G782" s="79">
        <f t="shared" si="1296"/>
        <v>72585</v>
      </c>
      <c r="H782" s="79">
        <f t="shared" si="1296"/>
        <v>77580</v>
      </c>
      <c r="I782" s="79">
        <f t="shared" si="1296"/>
        <v>82575</v>
      </c>
      <c r="J782" s="80">
        <f t="shared" si="1283"/>
        <v>1094</v>
      </c>
      <c r="K782" s="80">
        <f t="shared" si="1284"/>
        <v>1172</v>
      </c>
      <c r="L782" s="80">
        <f t="shared" si="1285"/>
        <v>1407</v>
      </c>
      <c r="M782" s="80">
        <f t="shared" si="1286"/>
        <v>1626</v>
      </c>
      <c r="N782" s="80">
        <f t="shared" si="1287"/>
        <v>1814</v>
      </c>
      <c r="O782" s="80">
        <f t="shared" si="1288"/>
        <v>2001</v>
      </c>
      <c r="P782" s="81"/>
      <c r="Q782" s="81"/>
      <c r="R782" s="81"/>
      <c r="S782" s="81"/>
      <c r="T782" s="81"/>
      <c r="U782" s="81"/>
      <c r="V782" s="81"/>
      <c r="W782" s="81"/>
      <c r="X782" s="81"/>
      <c r="Y782" s="81"/>
      <c r="Z782" s="81"/>
      <c r="AA782" s="81"/>
      <c r="AB782" s="81"/>
      <c r="AC782" s="81"/>
      <c r="AD782" s="81"/>
      <c r="AE782" s="81"/>
      <c r="AF782" s="81"/>
    </row>
    <row r="783" spans="1:32">
      <c r="A783" s="82" t="s">
        <v>1517</v>
      </c>
      <c r="B783" s="84">
        <f>'MTSP 50% Income Limits '!B45</f>
        <v>48650</v>
      </c>
      <c r="C783" s="84">
        <f>'MTSP 50% Income Limits '!C45</f>
        <v>55600</v>
      </c>
      <c r="D783" s="84">
        <f>'MTSP 50% Income Limits '!D45</f>
        <v>62550</v>
      </c>
      <c r="E783" s="84">
        <f>'MTSP 50% Income Limits '!E45</f>
        <v>69500</v>
      </c>
      <c r="F783" s="84">
        <f>'MTSP 50% Income Limits '!F45</f>
        <v>75100</v>
      </c>
      <c r="G783" s="84">
        <f>'MTSP 50% Income Limits '!G45</f>
        <v>80650</v>
      </c>
      <c r="H783" s="84">
        <f>'MTSP 50% Income Limits '!H45</f>
        <v>86200</v>
      </c>
      <c r="I783" s="84">
        <f>'MTSP 50% Income Limits '!I45</f>
        <v>91750</v>
      </c>
      <c r="J783" s="83">
        <f>TRUNC(B783/12*0.3)</f>
        <v>1216</v>
      </c>
      <c r="K783" s="83">
        <f>TRUNC((B783+C783)/2/12*0.3)</f>
        <v>1303</v>
      </c>
      <c r="L783" s="83">
        <f>TRUNC((D783)/12*0.3)</f>
        <v>1563</v>
      </c>
      <c r="M783" s="83">
        <f>TRUNC(((E783+F783)/2)/12*0.3)</f>
        <v>1807</v>
      </c>
      <c r="N783" s="83">
        <f>TRUNC(G783/12*0.3)</f>
        <v>2016</v>
      </c>
      <c r="O783" s="83">
        <f>TRUNC(((H783+I783)/2)/12*0.3)</f>
        <v>2224</v>
      </c>
      <c r="P783" s="81"/>
      <c r="Q783" s="81"/>
      <c r="R783" s="81"/>
      <c r="S783" s="81"/>
      <c r="T783" s="81"/>
      <c r="U783" s="81"/>
      <c r="V783" s="81"/>
      <c r="W783" s="81"/>
      <c r="X783" s="81"/>
      <c r="Y783" s="81"/>
      <c r="Z783" s="81"/>
      <c r="AA783" s="81"/>
      <c r="AB783" s="81"/>
      <c r="AC783" s="81"/>
      <c r="AD783" s="81"/>
      <c r="AE783" s="81"/>
      <c r="AF783" s="81"/>
    </row>
    <row r="784" spans="1:32">
      <c r="A784" s="76" t="s">
        <v>1518</v>
      </c>
      <c r="B784" s="79">
        <f>B783*2*0.55</f>
        <v>53515.000000000007</v>
      </c>
      <c r="C784" s="79">
        <f t="shared" ref="C784:I784" si="1297">C783*2*0.55</f>
        <v>61160.000000000007</v>
      </c>
      <c r="D784" s="79">
        <f t="shared" si="1297"/>
        <v>68805</v>
      </c>
      <c r="E784" s="79">
        <f t="shared" si="1297"/>
        <v>76450</v>
      </c>
      <c r="F784" s="79">
        <f t="shared" si="1297"/>
        <v>82610</v>
      </c>
      <c r="G784" s="79">
        <f t="shared" si="1297"/>
        <v>88715</v>
      </c>
      <c r="H784" s="79">
        <f t="shared" si="1297"/>
        <v>94820.000000000015</v>
      </c>
      <c r="I784" s="79">
        <f t="shared" si="1297"/>
        <v>100925.00000000001</v>
      </c>
      <c r="J784" s="80">
        <f t="shared" ref="J784:J790" si="1298">TRUNC(B784/12*0.3)</f>
        <v>1337</v>
      </c>
      <c r="K784" s="80">
        <f t="shared" ref="K784:K790" si="1299">TRUNC((B784+C784)/2/12*0.3)</f>
        <v>1433</v>
      </c>
      <c r="L784" s="80">
        <f t="shared" ref="L784:L790" si="1300">TRUNC((D784)/12*0.3)</f>
        <v>1720</v>
      </c>
      <c r="M784" s="80">
        <f t="shared" ref="M784:M790" si="1301">TRUNC(((E784+F784)/2)/12*0.3)</f>
        <v>1988</v>
      </c>
      <c r="N784" s="80">
        <f t="shared" ref="N784:N790" si="1302">TRUNC(G784/12*0.3)</f>
        <v>2217</v>
      </c>
      <c r="O784" s="80">
        <f t="shared" ref="O784:O790" si="1303">TRUNC(((H784+I784)/2)/12*0.3)</f>
        <v>2446</v>
      </c>
      <c r="P784" s="81"/>
      <c r="Q784" s="81"/>
      <c r="R784" s="81"/>
      <c r="S784" s="81"/>
      <c r="T784" s="81"/>
      <c r="U784" s="81"/>
      <c r="V784" s="81"/>
      <c r="W784" s="81"/>
      <c r="X784" s="81"/>
      <c r="Y784" s="81"/>
      <c r="Z784" s="81"/>
      <c r="AA784" s="81"/>
      <c r="AB784" s="81"/>
      <c r="AC784" s="81"/>
      <c r="AD784" s="81"/>
      <c r="AE784" s="81"/>
      <c r="AF784" s="81"/>
    </row>
    <row r="785" spans="1:32">
      <c r="A785" s="76" t="s">
        <v>1519</v>
      </c>
      <c r="B785" s="79">
        <f>B783*2*0.6</f>
        <v>58380</v>
      </c>
      <c r="C785" s="79">
        <f t="shared" ref="C785:I785" si="1304">C783*2*0.6</f>
        <v>66720</v>
      </c>
      <c r="D785" s="79">
        <f t="shared" si="1304"/>
        <v>75060</v>
      </c>
      <c r="E785" s="79">
        <f t="shared" si="1304"/>
        <v>83400</v>
      </c>
      <c r="F785" s="79">
        <f t="shared" si="1304"/>
        <v>90120</v>
      </c>
      <c r="G785" s="79">
        <f t="shared" si="1304"/>
        <v>96780</v>
      </c>
      <c r="H785" s="79">
        <f t="shared" si="1304"/>
        <v>103440</v>
      </c>
      <c r="I785" s="79">
        <f t="shared" si="1304"/>
        <v>110100</v>
      </c>
      <c r="J785" s="80">
        <f t="shared" si="1298"/>
        <v>1459</v>
      </c>
      <c r="K785" s="80">
        <f t="shared" si="1299"/>
        <v>1563</v>
      </c>
      <c r="L785" s="80">
        <f t="shared" si="1300"/>
        <v>1876</v>
      </c>
      <c r="M785" s="80">
        <f t="shared" si="1301"/>
        <v>2169</v>
      </c>
      <c r="N785" s="80">
        <f t="shared" si="1302"/>
        <v>2419</v>
      </c>
      <c r="O785" s="80">
        <f t="shared" si="1303"/>
        <v>2669</v>
      </c>
      <c r="P785" s="81"/>
      <c r="Q785" s="81"/>
      <c r="R785" s="81"/>
      <c r="S785" s="81"/>
      <c r="T785" s="81"/>
      <c r="U785" s="81"/>
      <c r="V785" s="81"/>
      <c r="W785" s="81"/>
      <c r="X785" s="81"/>
      <c r="Y785" s="81"/>
      <c r="Z785" s="81"/>
      <c r="AA785" s="81"/>
      <c r="AB785" s="81"/>
      <c r="AC785" s="81"/>
      <c r="AD785" s="81"/>
      <c r="AE785" s="81"/>
      <c r="AF785" s="81"/>
    </row>
    <row r="786" spans="1:32">
      <c r="A786" s="76" t="s">
        <v>1520</v>
      </c>
      <c r="B786" s="79">
        <f>B783*2*0.65</f>
        <v>63245</v>
      </c>
      <c r="C786" s="79">
        <f t="shared" ref="C786:I786" si="1305">C783*2*0.65</f>
        <v>72280</v>
      </c>
      <c r="D786" s="79">
        <f t="shared" si="1305"/>
        <v>81315</v>
      </c>
      <c r="E786" s="79">
        <f t="shared" si="1305"/>
        <v>90350</v>
      </c>
      <c r="F786" s="79">
        <f t="shared" si="1305"/>
        <v>97630</v>
      </c>
      <c r="G786" s="79">
        <f t="shared" si="1305"/>
        <v>104845</v>
      </c>
      <c r="H786" s="79">
        <f t="shared" si="1305"/>
        <v>112060</v>
      </c>
      <c r="I786" s="79">
        <f t="shared" si="1305"/>
        <v>119275</v>
      </c>
      <c r="J786" s="80">
        <f t="shared" si="1298"/>
        <v>1581</v>
      </c>
      <c r="K786" s="80">
        <f t="shared" si="1299"/>
        <v>1694</v>
      </c>
      <c r="L786" s="80">
        <f t="shared" si="1300"/>
        <v>2032</v>
      </c>
      <c r="M786" s="80">
        <f t="shared" si="1301"/>
        <v>2349</v>
      </c>
      <c r="N786" s="80">
        <f t="shared" si="1302"/>
        <v>2621</v>
      </c>
      <c r="O786" s="80">
        <f t="shared" si="1303"/>
        <v>2891</v>
      </c>
      <c r="P786" s="81"/>
      <c r="Q786" s="81"/>
      <c r="R786" s="81"/>
      <c r="S786" s="81"/>
      <c r="T786" s="81"/>
      <c r="U786" s="81"/>
      <c r="V786" s="81"/>
      <c r="W786" s="81"/>
      <c r="X786" s="81"/>
      <c r="Y786" s="81"/>
      <c r="Z786" s="81"/>
      <c r="AA786" s="81"/>
      <c r="AB786" s="81"/>
      <c r="AC786" s="81"/>
      <c r="AD786" s="81"/>
      <c r="AE786" s="81"/>
      <c r="AF786" s="81"/>
    </row>
    <row r="787" spans="1:32">
      <c r="A787" s="76" t="s">
        <v>1521</v>
      </c>
      <c r="B787" s="79">
        <f>B783*2*0.7</f>
        <v>68110</v>
      </c>
      <c r="C787" s="79">
        <f t="shared" ref="C787:I787" si="1306">C783*2*0.7</f>
        <v>77840</v>
      </c>
      <c r="D787" s="79">
        <f t="shared" si="1306"/>
        <v>87570</v>
      </c>
      <c r="E787" s="79">
        <f t="shared" si="1306"/>
        <v>97300</v>
      </c>
      <c r="F787" s="79">
        <f t="shared" si="1306"/>
        <v>105140</v>
      </c>
      <c r="G787" s="79">
        <f t="shared" si="1306"/>
        <v>112910</v>
      </c>
      <c r="H787" s="79">
        <f t="shared" si="1306"/>
        <v>120679.99999999999</v>
      </c>
      <c r="I787" s="79">
        <f t="shared" si="1306"/>
        <v>128449.99999999999</v>
      </c>
      <c r="J787" s="80">
        <f t="shared" si="1298"/>
        <v>1702</v>
      </c>
      <c r="K787" s="80">
        <f t="shared" si="1299"/>
        <v>1824</v>
      </c>
      <c r="L787" s="80">
        <f t="shared" si="1300"/>
        <v>2189</v>
      </c>
      <c r="M787" s="80">
        <f t="shared" si="1301"/>
        <v>2530</v>
      </c>
      <c r="N787" s="80">
        <f t="shared" si="1302"/>
        <v>2822</v>
      </c>
      <c r="O787" s="80">
        <f t="shared" si="1303"/>
        <v>3114</v>
      </c>
      <c r="P787" s="81"/>
      <c r="Q787" s="81"/>
      <c r="R787" s="81"/>
      <c r="S787" s="81"/>
      <c r="T787" s="81"/>
      <c r="U787" s="81"/>
      <c r="V787" s="81"/>
      <c r="W787" s="81"/>
      <c r="X787" s="81"/>
      <c r="Y787" s="81"/>
      <c r="Z787" s="81"/>
      <c r="AA787" s="81"/>
      <c r="AB787" s="81"/>
      <c r="AC787" s="81"/>
      <c r="AD787" s="81"/>
      <c r="AE787" s="81"/>
      <c r="AF787" s="81"/>
    </row>
    <row r="788" spans="1:32">
      <c r="A788" s="76" t="s">
        <v>1522</v>
      </c>
      <c r="B788" s="79">
        <f>B783*2*0.75</f>
        <v>72975</v>
      </c>
      <c r="C788" s="79">
        <f t="shared" ref="C788:I788" si="1307">C783*2*0.75</f>
        <v>83400</v>
      </c>
      <c r="D788" s="79">
        <f t="shared" si="1307"/>
        <v>93825</v>
      </c>
      <c r="E788" s="79">
        <f t="shared" si="1307"/>
        <v>104250</v>
      </c>
      <c r="F788" s="79">
        <f t="shared" si="1307"/>
        <v>112650</v>
      </c>
      <c r="G788" s="79">
        <f t="shared" si="1307"/>
        <v>120975</v>
      </c>
      <c r="H788" s="79">
        <f t="shared" si="1307"/>
        <v>129300</v>
      </c>
      <c r="I788" s="79">
        <f t="shared" si="1307"/>
        <v>137625</v>
      </c>
      <c r="J788" s="80">
        <f t="shared" si="1298"/>
        <v>1824</v>
      </c>
      <c r="K788" s="80">
        <f t="shared" si="1299"/>
        <v>1954</v>
      </c>
      <c r="L788" s="80">
        <f t="shared" si="1300"/>
        <v>2345</v>
      </c>
      <c r="M788" s="80">
        <f t="shared" si="1301"/>
        <v>2711</v>
      </c>
      <c r="N788" s="80">
        <f t="shared" si="1302"/>
        <v>3024</v>
      </c>
      <c r="O788" s="80">
        <f t="shared" si="1303"/>
        <v>3336</v>
      </c>
      <c r="P788" s="81"/>
      <c r="Q788" s="81"/>
      <c r="R788" s="81"/>
      <c r="S788" s="81"/>
      <c r="T788" s="81"/>
      <c r="U788" s="81"/>
      <c r="V788" s="81"/>
      <c r="W788" s="81"/>
      <c r="X788" s="81"/>
      <c r="Y788" s="81"/>
      <c r="Z788" s="81"/>
      <c r="AA788" s="81"/>
      <c r="AB788" s="81"/>
      <c r="AC788" s="81"/>
      <c r="AD788" s="81"/>
      <c r="AE788" s="81"/>
      <c r="AF788" s="81"/>
    </row>
    <row r="789" spans="1:32">
      <c r="A789" s="76" t="s">
        <v>1523</v>
      </c>
      <c r="B789" s="79">
        <f>B783*2*0.8</f>
        <v>77840</v>
      </c>
      <c r="C789" s="79">
        <f t="shared" ref="C789:I789" si="1308">C783*2*0.8</f>
        <v>88960</v>
      </c>
      <c r="D789" s="79">
        <f t="shared" si="1308"/>
        <v>100080</v>
      </c>
      <c r="E789" s="79">
        <f t="shared" si="1308"/>
        <v>111200</v>
      </c>
      <c r="F789" s="79">
        <f t="shared" si="1308"/>
        <v>120160</v>
      </c>
      <c r="G789" s="79">
        <f t="shared" si="1308"/>
        <v>129040</v>
      </c>
      <c r="H789" s="79">
        <f t="shared" si="1308"/>
        <v>137920</v>
      </c>
      <c r="I789" s="79">
        <f t="shared" si="1308"/>
        <v>146800</v>
      </c>
      <c r="J789" s="80">
        <f t="shared" si="1298"/>
        <v>1946</v>
      </c>
      <c r="K789" s="80">
        <f t="shared" si="1299"/>
        <v>2085</v>
      </c>
      <c r="L789" s="80">
        <f t="shared" si="1300"/>
        <v>2502</v>
      </c>
      <c r="M789" s="80">
        <f t="shared" si="1301"/>
        <v>2892</v>
      </c>
      <c r="N789" s="80">
        <f t="shared" si="1302"/>
        <v>3226</v>
      </c>
      <c r="O789" s="80">
        <f t="shared" si="1303"/>
        <v>3559</v>
      </c>
      <c r="P789" s="81"/>
      <c r="Q789" s="81"/>
      <c r="R789" s="81"/>
      <c r="S789" s="81"/>
      <c r="T789" s="81"/>
      <c r="U789" s="81"/>
      <c r="V789" s="81"/>
      <c r="W789" s="81"/>
      <c r="X789" s="81"/>
      <c r="Y789" s="81"/>
      <c r="Z789" s="81"/>
      <c r="AA789" s="81"/>
      <c r="AB789" s="81"/>
      <c r="AC789" s="81"/>
      <c r="AD789" s="81"/>
      <c r="AE789" s="81"/>
      <c r="AF789" s="81"/>
    </row>
    <row r="790" spans="1:32">
      <c r="A790" s="76" t="s">
        <v>1524</v>
      </c>
      <c r="B790" s="79">
        <f>B783*2*0.9</f>
        <v>87570</v>
      </c>
      <c r="C790" s="79">
        <f t="shared" ref="C790:I790" si="1309">C783*2*0.9</f>
        <v>100080</v>
      </c>
      <c r="D790" s="79">
        <f t="shared" si="1309"/>
        <v>112590</v>
      </c>
      <c r="E790" s="79">
        <f t="shared" si="1309"/>
        <v>125100</v>
      </c>
      <c r="F790" s="79">
        <f t="shared" si="1309"/>
        <v>135180</v>
      </c>
      <c r="G790" s="79">
        <f t="shared" si="1309"/>
        <v>145170</v>
      </c>
      <c r="H790" s="79">
        <f t="shared" si="1309"/>
        <v>155160</v>
      </c>
      <c r="I790" s="79">
        <f t="shared" si="1309"/>
        <v>165150</v>
      </c>
      <c r="J790" s="80">
        <f t="shared" si="1298"/>
        <v>2189</v>
      </c>
      <c r="K790" s="80">
        <f t="shared" si="1299"/>
        <v>2345</v>
      </c>
      <c r="L790" s="80">
        <f t="shared" si="1300"/>
        <v>2814</v>
      </c>
      <c r="M790" s="80">
        <f t="shared" si="1301"/>
        <v>3253</v>
      </c>
      <c r="N790" s="80">
        <f t="shared" si="1302"/>
        <v>3629</v>
      </c>
      <c r="O790" s="80">
        <f t="shared" si="1303"/>
        <v>4003</v>
      </c>
      <c r="P790" s="81"/>
      <c r="Q790" s="81"/>
      <c r="R790" s="81"/>
      <c r="S790" s="81"/>
      <c r="T790" s="81"/>
      <c r="U790" s="81"/>
      <c r="V790" s="81"/>
      <c r="W790" s="81"/>
      <c r="X790" s="81"/>
      <c r="Y790" s="81"/>
      <c r="Z790" s="81"/>
      <c r="AA790" s="81"/>
      <c r="AB790" s="81"/>
      <c r="AC790" s="81"/>
      <c r="AD790" s="81"/>
      <c r="AE790" s="81"/>
      <c r="AF790" s="81"/>
    </row>
    <row r="791" spans="1:32">
      <c r="A791" s="76" t="s">
        <v>1525</v>
      </c>
      <c r="B791" s="79">
        <f>B783*2</f>
        <v>97300</v>
      </c>
      <c r="C791" s="79">
        <f t="shared" ref="C791:I791" si="1310">C783*2</f>
        <v>111200</v>
      </c>
      <c r="D791" s="79">
        <f t="shared" si="1310"/>
        <v>125100</v>
      </c>
      <c r="E791" s="79">
        <f t="shared" si="1310"/>
        <v>139000</v>
      </c>
      <c r="F791" s="79">
        <f t="shared" si="1310"/>
        <v>150200</v>
      </c>
      <c r="G791" s="79">
        <f t="shared" si="1310"/>
        <v>161300</v>
      </c>
      <c r="H791" s="79">
        <f t="shared" si="1310"/>
        <v>172400</v>
      </c>
      <c r="I791" s="79">
        <f t="shared" si="1310"/>
        <v>183500</v>
      </c>
      <c r="J791" s="80">
        <f>J783*2</f>
        <v>2432</v>
      </c>
      <c r="K791" s="80">
        <f t="shared" ref="K791:O791" si="1311">K783*2</f>
        <v>2606</v>
      </c>
      <c r="L791" s="80">
        <f t="shared" si="1311"/>
        <v>3126</v>
      </c>
      <c r="M791" s="80">
        <f t="shared" si="1311"/>
        <v>3614</v>
      </c>
      <c r="N791" s="80">
        <f t="shared" si="1311"/>
        <v>4032</v>
      </c>
      <c r="O791" s="80">
        <f t="shared" si="1311"/>
        <v>4448</v>
      </c>
      <c r="P791" s="81"/>
      <c r="Q791" s="81"/>
      <c r="R791" s="81"/>
      <c r="S791" s="81"/>
      <c r="T791" s="81"/>
      <c r="U791" s="81"/>
      <c r="V791" s="81"/>
      <c r="W791" s="81"/>
      <c r="X791" s="81"/>
      <c r="Y791" s="81"/>
      <c r="Z791" s="81"/>
      <c r="AA791" s="81"/>
      <c r="AB791" s="81"/>
      <c r="AC791" s="81"/>
      <c r="AD791" s="81"/>
      <c r="AE791" s="81"/>
      <c r="AF791" s="81"/>
    </row>
    <row r="792" spans="1:32">
      <c r="A792" s="76" t="s">
        <v>1526</v>
      </c>
      <c r="B792" s="79">
        <f>B783*2*1.1</f>
        <v>107030.00000000001</v>
      </c>
      <c r="C792" s="79">
        <f t="shared" ref="C792:I792" si="1312">C783*2*1.1</f>
        <v>122320.00000000001</v>
      </c>
      <c r="D792" s="79">
        <f t="shared" si="1312"/>
        <v>137610</v>
      </c>
      <c r="E792" s="79">
        <f t="shared" si="1312"/>
        <v>152900</v>
      </c>
      <c r="F792" s="79">
        <f t="shared" si="1312"/>
        <v>165220</v>
      </c>
      <c r="G792" s="79">
        <f t="shared" si="1312"/>
        <v>177430</v>
      </c>
      <c r="H792" s="79">
        <f t="shared" si="1312"/>
        <v>189640.00000000003</v>
      </c>
      <c r="I792" s="79">
        <f t="shared" si="1312"/>
        <v>201850.00000000003</v>
      </c>
      <c r="J792" s="80">
        <f t="shared" ref="J792:J800" si="1313">TRUNC(B792/12*0.3)</f>
        <v>2675</v>
      </c>
      <c r="K792" s="80">
        <f t="shared" ref="K792:K800" si="1314">TRUNC((B792+C792)/2/12*0.3)</f>
        <v>2866</v>
      </c>
      <c r="L792" s="80">
        <f t="shared" ref="L792:L800" si="1315">TRUNC((D792)/12*0.3)</f>
        <v>3440</v>
      </c>
      <c r="M792" s="80">
        <f t="shared" ref="M792:M800" si="1316">TRUNC(((E792+F792)/2)/12*0.3)</f>
        <v>3976</v>
      </c>
      <c r="N792" s="80">
        <f t="shared" ref="N792:N800" si="1317">TRUNC(G792/12*0.3)</f>
        <v>4435</v>
      </c>
      <c r="O792" s="80">
        <f t="shared" ref="O792:O800" si="1318">TRUNC(((H792+I792)/2)/12*0.3)</f>
        <v>4893</v>
      </c>
      <c r="P792" s="81"/>
      <c r="Q792" s="81"/>
      <c r="R792" s="81"/>
      <c r="S792" s="81"/>
      <c r="T792" s="81"/>
      <c r="U792" s="81"/>
      <c r="V792" s="81"/>
      <c r="W792" s="81"/>
      <c r="X792" s="81"/>
      <c r="Y792" s="81"/>
      <c r="Z792" s="81"/>
      <c r="AA792" s="81"/>
      <c r="AB792" s="81"/>
      <c r="AC792" s="81"/>
      <c r="AD792" s="81"/>
      <c r="AE792" s="81"/>
      <c r="AF792" s="81"/>
    </row>
    <row r="793" spans="1:32">
      <c r="A793" s="76" t="s">
        <v>1527</v>
      </c>
      <c r="B793" s="79">
        <f>B783*2*1.2</f>
        <v>116760</v>
      </c>
      <c r="C793" s="79">
        <f t="shared" ref="C793:I793" si="1319">C783*2*1.2</f>
        <v>133440</v>
      </c>
      <c r="D793" s="79">
        <f t="shared" si="1319"/>
        <v>150120</v>
      </c>
      <c r="E793" s="79">
        <f t="shared" si="1319"/>
        <v>166800</v>
      </c>
      <c r="F793" s="79">
        <f t="shared" si="1319"/>
        <v>180240</v>
      </c>
      <c r="G793" s="79">
        <f t="shared" si="1319"/>
        <v>193560</v>
      </c>
      <c r="H793" s="79">
        <f t="shared" si="1319"/>
        <v>206880</v>
      </c>
      <c r="I793" s="79">
        <f t="shared" si="1319"/>
        <v>220200</v>
      </c>
      <c r="J793" s="80">
        <f t="shared" si="1313"/>
        <v>2919</v>
      </c>
      <c r="K793" s="80">
        <f t="shared" si="1314"/>
        <v>3127</v>
      </c>
      <c r="L793" s="80">
        <f t="shared" si="1315"/>
        <v>3753</v>
      </c>
      <c r="M793" s="80">
        <f t="shared" si="1316"/>
        <v>4338</v>
      </c>
      <c r="N793" s="80">
        <f t="shared" si="1317"/>
        <v>4839</v>
      </c>
      <c r="O793" s="80">
        <f t="shared" si="1318"/>
        <v>5338</v>
      </c>
      <c r="P793" s="81"/>
      <c r="Q793" s="81"/>
      <c r="R793" s="81"/>
      <c r="S793" s="81"/>
      <c r="T793" s="81"/>
      <c r="U793" s="81"/>
      <c r="V793" s="81"/>
      <c r="W793" s="81"/>
      <c r="X793" s="81"/>
      <c r="Y793" s="81"/>
      <c r="Z793" s="81"/>
      <c r="AA793" s="81"/>
      <c r="AB793" s="81"/>
      <c r="AC793" s="81"/>
      <c r="AD793" s="81"/>
      <c r="AE793" s="81"/>
      <c r="AF793" s="81"/>
    </row>
    <row r="794" spans="1:32">
      <c r="A794" s="76" t="s">
        <v>1528</v>
      </c>
      <c r="B794" s="79">
        <f>B801*2*0.15</f>
        <v>7455</v>
      </c>
      <c r="C794" s="79">
        <f>C801*2*0.15</f>
        <v>8520</v>
      </c>
      <c r="D794" s="79">
        <f>D801*2*0.15</f>
        <v>9585</v>
      </c>
      <c r="E794" s="79">
        <f>E801*2*0.15</f>
        <v>10650</v>
      </c>
      <c r="F794" s="79">
        <f>F801*2*0.15</f>
        <v>11505</v>
      </c>
      <c r="G794" s="79">
        <f t="shared" ref="G794:I794" si="1320">G801*2*0.15</f>
        <v>12360</v>
      </c>
      <c r="H794" s="79">
        <f t="shared" si="1320"/>
        <v>13215</v>
      </c>
      <c r="I794" s="79">
        <f t="shared" si="1320"/>
        <v>14070</v>
      </c>
      <c r="J794" s="80">
        <f t="shared" si="1313"/>
        <v>186</v>
      </c>
      <c r="K794" s="80">
        <f t="shared" si="1314"/>
        <v>199</v>
      </c>
      <c r="L794" s="80">
        <f t="shared" si="1315"/>
        <v>239</v>
      </c>
      <c r="M794" s="80">
        <f t="shared" si="1316"/>
        <v>276</v>
      </c>
      <c r="N794" s="80">
        <f t="shared" si="1317"/>
        <v>309</v>
      </c>
      <c r="O794" s="80">
        <f t="shared" si="1318"/>
        <v>341</v>
      </c>
      <c r="P794" s="81"/>
      <c r="Q794" s="81"/>
      <c r="R794" s="81"/>
      <c r="S794" s="81"/>
      <c r="T794" s="81"/>
      <c r="U794" s="81"/>
      <c r="V794" s="81"/>
      <c r="W794" s="81"/>
      <c r="X794" s="81"/>
      <c r="Y794" s="81"/>
      <c r="Z794" s="81"/>
      <c r="AA794" s="81"/>
      <c r="AB794" s="81"/>
      <c r="AC794" s="81"/>
      <c r="AD794" s="81"/>
      <c r="AE794" s="81"/>
      <c r="AF794" s="81"/>
    </row>
    <row r="795" spans="1:32">
      <c r="A795" s="76" t="s">
        <v>1529</v>
      </c>
      <c r="B795" s="79">
        <f>B801*2*0.2</f>
        <v>9940</v>
      </c>
      <c r="C795" s="79">
        <f t="shared" ref="C795:I795" si="1321">C801*2*0.2</f>
        <v>11360</v>
      </c>
      <c r="D795" s="79">
        <f t="shared" si="1321"/>
        <v>12780</v>
      </c>
      <c r="E795" s="79">
        <f t="shared" si="1321"/>
        <v>14200</v>
      </c>
      <c r="F795" s="79">
        <f t="shared" si="1321"/>
        <v>15340</v>
      </c>
      <c r="G795" s="79">
        <f t="shared" si="1321"/>
        <v>16480</v>
      </c>
      <c r="H795" s="79">
        <f t="shared" si="1321"/>
        <v>17620</v>
      </c>
      <c r="I795" s="79">
        <f t="shared" si="1321"/>
        <v>18760</v>
      </c>
      <c r="J795" s="80">
        <f t="shared" si="1313"/>
        <v>248</v>
      </c>
      <c r="K795" s="80">
        <f t="shared" si="1314"/>
        <v>266</v>
      </c>
      <c r="L795" s="80">
        <f t="shared" si="1315"/>
        <v>319</v>
      </c>
      <c r="M795" s="80">
        <f t="shared" si="1316"/>
        <v>369</v>
      </c>
      <c r="N795" s="80">
        <f t="shared" si="1317"/>
        <v>412</v>
      </c>
      <c r="O795" s="80">
        <f t="shared" si="1318"/>
        <v>454</v>
      </c>
      <c r="P795" s="81"/>
      <c r="Q795" s="81"/>
      <c r="R795" s="81"/>
      <c r="S795" s="81"/>
      <c r="T795" s="81"/>
      <c r="U795" s="81"/>
      <c r="V795" s="81"/>
      <c r="W795" s="81"/>
      <c r="X795" s="81"/>
      <c r="Y795" s="81"/>
      <c r="Z795" s="81"/>
      <c r="AA795" s="81"/>
      <c r="AB795" s="81"/>
      <c r="AC795" s="81"/>
      <c r="AD795" s="81"/>
      <c r="AE795" s="81"/>
      <c r="AF795" s="81"/>
    </row>
    <row r="796" spans="1:32">
      <c r="A796" s="76" t="s">
        <v>1530</v>
      </c>
      <c r="B796" s="79">
        <f>B801*2*0.25</f>
        <v>12425</v>
      </c>
      <c r="C796" s="79">
        <f t="shared" ref="C796:I796" si="1322">C801*2*0.25</f>
        <v>14200</v>
      </c>
      <c r="D796" s="79">
        <f t="shared" si="1322"/>
        <v>15975</v>
      </c>
      <c r="E796" s="79">
        <f t="shared" si="1322"/>
        <v>17750</v>
      </c>
      <c r="F796" s="79">
        <f t="shared" si="1322"/>
        <v>19175</v>
      </c>
      <c r="G796" s="79">
        <f t="shared" si="1322"/>
        <v>20600</v>
      </c>
      <c r="H796" s="79">
        <f t="shared" si="1322"/>
        <v>22025</v>
      </c>
      <c r="I796" s="79">
        <f t="shared" si="1322"/>
        <v>23450</v>
      </c>
      <c r="J796" s="80">
        <f t="shared" si="1313"/>
        <v>310</v>
      </c>
      <c r="K796" s="80">
        <f t="shared" si="1314"/>
        <v>332</v>
      </c>
      <c r="L796" s="80">
        <f t="shared" si="1315"/>
        <v>399</v>
      </c>
      <c r="M796" s="80">
        <f t="shared" si="1316"/>
        <v>461</v>
      </c>
      <c r="N796" s="80">
        <f t="shared" si="1317"/>
        <v>515</v>
      </c>
      <c r="O796" s="80">
        <f t="shared" si="1318"/>
        <v>568</v>
      </c>
      <c r="P796" s="81"/>
      <c r="Q796" s="81"/>
      <c r="R796" s="81"/>
      <c r="S796" s="81"/>
      <c r="T796" s="81"/>
      <c r="U796" s="81"/>
      <c r="V796" s="81"/>
      <c r="W796" s="81"/>
      <c r="X796" s="81"/>
      <c r="Y796" s="81"/>
      <c r="Z796" s="81"/>
      <c r="AA796" s="81"/>
      <c r="AB796" s="81"/>
      <c r="AC796" s="81"/>
      <c r="AD796" s="81"/>
      <c r="AE796" s="81"/>
      <c r="AF796" s="81"/>
    </row>
    <row r="797" spans="1:32">
      <c r="A797" s="76" t="s">
        <v>1531</v>
      </c>
      <c r="B797" s="79">
        <f>B801*2*0.3</f>
        <v>14910</v>
      </c>
      <c r="C797" s="79">
        <f t="shared" ref="C797:I797" si="1323">C801*2*0.3</f>
        <v>17040</v>
      </c>
      <c r="D797" s="79">
        <f t="shared" si="1323"/>
        <v>19170</v>
      </c>
      <c r="E797" s="79">
        <f t="shared" si="1323"/>
        <v>21300</v>
      </c>
      <c r="F797" s="79">
        <f t="shared" si="1323"/>
        <v>23010</v>
      </c>
      <c r="G797" s="79">
        <f t="shared" si="1323"/>
        <v>24720</v>
      </c>
      <c r="H797" s="79">
        <f t="shared" si="1323"/>
        <v>26430</v>
      </c>
      <c r="I797" s="79">
        <f t="shared" si="1323"/>
        <v>28140</v>
      </c>
      <c r="J797" s="80">
        <f t="shared" si="1313"/>
        <v>372</v>
      </c>
      <c r="K797" s="80">
        <f t="shared" si="1314"/>
        <v>399</v>
      </c>
      <c r="L797" s="80">
        <f t="shared" si="1315"/>
        <v>479</v>
      </c>
      <c r="M797" s="80">
        <f t="shared" si="1316"/>
        <v>553</v>
      </c>
      <c r="N797" s="80">
        <f t="shared" si="1317"/>
        <v>618</v>
      </c>
      <c r="O797" s="80">
        <f t="shared" si="1318"/>
        <v>682</v>
      </c>
      <c r="P797" s="81"/>
      <c r="Q797" s="81"/>
      <c r="R797" s="81"/>
      <c r="S797" s="81"/>
      <c r="T797" s="81"/>
      <c r="U797" s="81"/>
      <c r="V797" s="81"/>
      <c r="W797" s="81"/>
      <c r="X797" s="81"/>
      <c r="Y797" s="81"/>
      <c r="Z797" s="81"/>
      <c r="AA797" s="81"/>
      <c r="AB797" s="81"/>
      <c r="AC797" s="81"/>
      <c r="AD797" s="81"/>
      <c r="AE797" s="81"/>
      <c r="AF797" s="81"/>
    </row>
    <row r="798" spans="1:32">
      <c r="A798" s="76" t="s">
        <v>1532</v>
      </c>
      <c r="B798" s="79">
        <f>B801*2*0.35</f>
        <v>17395</v>
      </c>
      <c r="C798" s="79">
        <f t="shared" ref="C798:I798" si="1324">C801*2*0.35</f>
        <v>19880</v>
      </c>
      <c r="D798" s="79">
        <f t="shared" si="1324"/>
        <v>22365</v>
      </c>
      <c r="E798" s="79">
        <f t="shared" si="1324"/>
        <v>24850</v>
      </c>
      <c r="F798" s="79">
        <f t="shared" si="1324"/>
        <v>26845</v>
      </c>
      <c r="G798" s="79">
        <f t="shared" si="1324"/>
        <v>28839.999999999996</v>
      </c>
      <c r="H798" s="79">
        <f t="shared" si="1324"/>
        <v>30834.999999999996</v>
      </c>
      <c r="I798" s="79">
        <f t="shared" si="1324"/>
        <v>32830</v>
      </c>
      <c r="J798" s="80">
        <f t="shared" si="1313"/>
        <v>434</v>
      </c>
      <c r="K798" s="80">
        <f t="shared" si="1314"/>
        <v>465</v>
      </c>
      <c r="L798" s="80">
        <f t="shared" si="1315"/>
        <v>559</v>
      </c>
      <c r="M798" s="80">
        <f t="shared" si="1316"/>
        <v>646</v>
      </c>
      <c r="N798" s="80">
        <f t="shared" si="1317"/>
        <v>721</v>
      </c>
      <c r="O798" s="80">
        <f t="shared" si="1318"/>
        <v>795</v>
      </c>
      <c r="P798" s="81"/>
      <c r="Q798" s="81"/>
      <c r="R798" s="81"/>
      <c r="S798" s="81"/>
      <c r="T798" s="81"/>
      <c r="U798" s="81"/>
      <c r="V798" s="81"/>
      <c r="W798" s="81"/>
      <c r="X798" s="81"/>
      <c r="Y798" s="81"/>
      <c r="Z798" s="81"/>
      <c r="AA798" s="81"/>
      <c r="AB798" s="81"/>
      <c r="AC798" s="81"/>
      <c r="AD798" s="81"/>
      <c r="AE798" s="81"/>
      <c r="AF798" s="81"/>
    </row>
    <row r="799" spans="1:32">
      <c r="A799" s="76" t="s">
        <v>1533</v>
      </c>
      <c r="B799" s="79">
        <f>B801*2*0.4</f>
        <v>19880</v>
      </c>
      <c r="C799" s="79">
        <f t="shared" ref="C799:I799" si="1325">C801*2*0.4</f>
        <v>22720</v>
      </c>
      <c r="D799" s="79">
        <f t="shared" si="1325"/>
        <v>25560</v>
      </c>
      <c r="E799" s="79">
        <f t="shared" si="1325"/>
        <v>28400</v>
      </c>
      <c r="F799" s="79">
        <f t="shared" si="1325"/>
        <v>30680</v>
      </c>
      <c r="G799" s="79">
        <f t="shared" si="1325"/>
        <v>32960</v>
      </c>
      <c r="H799" s="79">
        <f t="shared" si="1325"/>
        <v>35240</v>
      </c>
      <c r="I799" s="79">
        <f t="shared" si="1325"/>
        <v>37520</v>
      </c>
      <c r="J799" s="80">
        <f t="shared" si="1313"/>
        <v>497</v>
      </c>
      <c r="K799" s="80">
        <f t="shared" si="1314"/>
        <v>532</v>
      </c>
      <c r="L799" s="80">
        <f t="shared" si="1315"/>
        <v>639</v>
      </c>
      <c r="M799" s="80">
        <f t="shared" si="1316"/>
        <v>738</v>
      </c>
      <c r="N799" s="80">
        <f t="shared" si="1317"/>
        <v>824</v>
      </c>
      <c r="O799" s="80">
        <f t="shared" si="1318"/>
        <v>909</v>
      </c>
      <c r="P799" s="81"/>
      <c r="Q799" s="81"/>
      <c r="R799" s="81"/>
      <c r="S799" s="81"/>
      <c r="T799" s="81"/>
      <c r="U799" s="81"/>
      <c r="V799" s="81"/>
      <c r="W799" s="81"/>
      <c r="X799" s="81"/>
      <c r="Y799" s="81"/>
      <c r="Z799" s="81"/>
      <c r="AA799" s="81"/>
      <c r="AB799" s="81"/>
      <c r="AC799" s="81"/>
      <c r="AD799" s="81"/>
      <c r="AE799" s="81"/>
      <c r="AF799" s="81"/>
    </row>
    <row r="800" spans="1:32">
      <c r="A800" s="76" t="s">
        <v>1534</v>
      </c>
      <c r="B800" s="79">
        <f>B801*2*0.45</f>
        <v>22365</v>
      </c>
      <c r="C800" s="79">
        <f t="shared" ref="C800:I800" si="1326">C801*2*0.45</f>
        <v>25560</v>
      </c>
      <c r="D800" s="79">
        <f t="shared" si="1326"/>
        <v>28755</v>
      </c>
      <c r="E800" s="79">
        <f t="shared" si="1326"/>
        <v>31950</v>
      </c>
      <c r="F800" s="79">
        <f t="shared" si="1326"/>
        <v>34515</v>
      </c>
      <c r="G800" s="79">
        <f t="shared" si="1326"/>
        <v>37080</v>
      </c>
      <c r="H800" s="79">
        <f t="shared" si="1326"/>
        <v>39645</v>
      </c>
      <c r="I800" s="79">
        <f t="shared" si="1326"/>
        <v>42210</v>
      </c>
      <c r="J800" s="80">
        <f t="shared" si="1313"/>
        <v>559</v>
      </c>
      <c r="K800" s="80">
        <f t="shared" si="1314"/>
        <v>599</v>
      </c>
      <c r="L800" s="80">
        <f t="shared" si="1315"/>
        <v>718</v>
      </c>
      <c r="M800" s="80">
        <f t="shared" si="1316"/>
        <v>830</v>
      </c>
      <c r="N800" s="80">
        <f t="shared" si="1317"/>
        <v>927</v>
      </c>
      <c r="O800" s="80">
        <f t="shared" si="1318"/>
        <v>1023</v>
      </c>
      <c r="P800" s="81"/>
      <c r="Q800" s="81"/>
      <c r="R800" s="81"/>
      <c r="S800" s="81"/>
      <c r="T800" s="81"/>
      <c r="U800" s="81"/>
      <c r="V800" s="81"/>
      <c r="W800" s="81"/>
      <c r="X800" s="81"/>
      <c r="Y800" s="81"/>
      <c r="Z800" s="81"/>
      <c r="AA800" s="81"/>
      <c r="AB800" s="81"/>
      <c r="AC800" s="81"/>
      <c r="AD800" s="81"/>
      <c r="AE800" s="81"/>
      <c r="AF800" s="81"/>
    </row>
    <row r="801" spans="1:32">
      <c r="A801" s="82" t="s">
        <v>1535</v>
      </c>
      <c r="B801" s="84">
        <f>'MTSP 50% Income Limits '!B46</f>
        <v>24850</v>
      </c>
      <c r="C801" s="84">
        <f>'MTSP 50% Income Limits '!C46</f>
        <v>28400</v>
      </c>
      <c r="D801" s="84">
        <f>'MTSP 50% Income Limits '!D46</f>
        <v>31950</v>
      </c>
      <c r="E801" s="84">
        <f>'MTSP 50% Income Limits '!E46</f>
        <v>35500</v>
      </c>
      <c r="F801" s="84">
        <f>'MTSP 50% Income Limits '!F46</f>
        <v>38350</v>
      </c>
      <c r="G801" s="84">
        <f>'MTSP 50% Income Limits '!G46</f>
        <v>41200</v>
      </c>
      <c r="H801" s="84">
        <f>'MTSP 50% Income Limits '!H46</f>
        <v>44050</v>
      </c>
      <c r="I801" s="84">
        <f>'MTSP 50% Income Limits '!I46</f>
        <v>46900</v>
      </c>
      <c r="J801" s="83">
        <f>TRUNC(B801/12*0.3)</f>
        <v>621</v>
      </c>
      <c r="K801" s="83">
        <f>TRUNC((B801+C801)/2/12*0.3)</f>
        <v>665</v>
      </c>
      <c r="L801" s="83">
        <f>TRUNC((D801)/12*0.3)</f>
        <v>798</v>
      </c>
      <c r="M801" s="83">
        <f>TRUNC(((E801+F801)/2)/12*0.3)</f>
        <v>923</v>
      </c>
      <c r="N801" s="83">
        <f>TRUNC(G801/12*0.3)</f>
        <v>1030</v>
      </c>
      <c r="O801" s="83">
        <f>TRUNC(((H801+I801)/2)/12*0.3)</f>
        <v>1136</v>
      </c>
      <c r="P801" s="81"/>
      <c r="Q801" s="81"/>
      <c r="R801" s="81"/>
      <c r="S801" s="81"/>
      <c r="T801" s="81"/>
      <c r="U801" s="81"/>
      <c r="V801" s="81"/>
      <c r="W801" s="81"/>
      <c r="X801" s="81"/>
      <c r="Y801" s="81"/>
      <c r="Z801" s="81"/>
      <c r="AA801" s="81"/>
      <c r="AB801" s="81"/>
      <c r="AC801" s="81"/>
      <c r="AD801" s="81"/>
      <c r="AE801" s="81"/>
      <c r="AF801" s="81"/>
    </row>
    <row r="802" spans="1:32">
      <c r="A802" s="76" t="s">
        <v>1536</v>
      </c>
      <c r="B802" s="79">
        <f>B801*2*0.55</f>
        <v>27335.000000000004</v>
      </c>
      <c r="C802" s="79">
        <f t="shared" ref="C802:I802" si="1327">C801*2*0.55</f>
        <v>31240.000000000004</v>
      </c>
      <c r="D802" s="79">
        <f t="shared" si="1327"/>
        <v>35145</v>
      </c>
      <c r="E802" s="79">
        <f t="shared" si="1327"/>
        <v>39050</v>
      </c>
      <c r="F802" s="79">
        <f t="shared" si="1327"/>
        <v>42185</v>
      </c>
      <c r="G802" s="79">
        <f t="shared" si="1327"/>
        <v>45320.000000000007</v>
      </c>
      <c r="H802" s="79">
        <f t="shared" si="1327"/>
        <v>48455.000000000007</v>
      </c>
      <c r="I802" s="79">
        <f t="shared" si="1327"/>
        <v>51590.000000000007</v>
      </c>
      <c r="J802" s="80">
        <f t="shared" ref="J802:J808" si="1328">TRUNC(B802/12*0.3)</f>
        <v>683</v>
      </c>
      <c r="K802" s="80">
        <f t="shared" ref="K802:K808" si="1329">TRUNC((B802+C802)/2/12*0.3)</f>
        <v>732</v>
      </c>
      <c r="L802" s="80">
        <f t="shared" ref="L802:L808" si="1330">TRUNC((D802)/12*0.3)</f>
        <v>878</v>
      </c>
      <c r="M802" s="80">
        <f t="shared" ref="M802:M808" si="1331">TRUNC(((E802+F802)/2)/12*0.3)</f>
        <v>1015</v>
      </c>
      <c r="N802" s="80">
        <f t="shared" ref="N802:N808" si="1332">TRUNC(G802/12*0.3)</f>
        <v>1133</v>
      </c>
      <c r="O802" s="80">
        <f t="shared" ref="O802:O808" si="1333">TRUNC(((H802+I802)/2)/12*0.3)</f>
        <v>1250</v>
      </c>
      <c r="P802" s="81"/>
      <c r="Q802" s="81"/>
      <c r="R802" s="81"/>
      <c r="S802" s="81"/>
      <c r="T802" s="81"/>
      <c r="U802" s="81"/>
      <c r="V802" s="81"/>
      <c r="W802" s="81"/>
      <c r="X802" s="81"/>
      <c r="Y802" s="81"/>
      <c r="Z802" s="81"/>
      <c r="AA802" s="81"/>
      <c r="AB802" s="81"/>
      <c r="AC802" s="81"/>
      <c r="AD802" s="81"/>
      <c r="AE802" s="81"/>
      <c r="AF802" s="81"/>
    </row>
    <row r="803" spans="1:32">
      <c r="A803" s="76" t="s">
        <v>1537</v>
      </c>
      <c r="B803" s="79">
        <f>B801*2*0.6</f>
        <v>29820</v>
      </c>
      <c r="C803" s="79">
        <f t="shared" ref="C803:I803" si="1334">C801*2*0.6</f>
        <v>34080</v>
      </c>
      <c r="D803" s="79">
        <f t="shared" si="1334"/>
        <v>38340</v>
      </c>
      <c r="E803" s="79">
        <f t="shared" si="1334"/>
        <v>42600</v>
      </c>
      <c r="F803" s="79">
        <f t="shared" si="1334"/>
        <v>46020</v>
      </c>
      <c r="G803" s="79">
        <f t="shared" si="1334"/>
        <v>49440</v>
      </c>
      <c r="H803" s="79">
        <f t="shared" si="1334"/>
        <v>52860</v>
      </c>
      <c r="I803" s="79">
        <f t="shared" si="1334"/>
        <v>56280</v>
      </c>
      <c r="J803" s="80">
        <f t="shared" si="1328"/>
        <v>745</v>
      </c>
      <c r="K803" s="80">
        <f t="shared" si="1329"/>
        <v>798</v>
      </c>
      <c r="L803" s="80">
        <f t="shared" si="1330"/>
        <v>958</v>
      </c>
      <c r="M803" s="80">
        <f t="shared" si="1331"/>
        <v>1107</v>
      </c>
      <c r="N803" s="80">
        <f t="shared" si="1332"/>
        <v>1236</v>
      </c>
      <c r="O803" s="80">
        <f t="shared" si="1333"/>
        <v>1364</v>
      </c>
      <c r="P803" s="81"/>
      <c r="Q803" s="81"/>
      <c r="R803" s="81"/>
      <c r="S803" s="81"/>
      <c r="T803" s="81"/>
      <c r="U803" s="81"/>
      <c r="V803" s="81"/>
      <c r="W803" s="81"/>
      <c r="X803" s="81"/>
      <c r="Y803" s="81"/>
      <c r="Z803" s="81"/>
      <c r="AA803" s="81"/>
      <c r="AB803" s="81"/>
      <c r="AC803" s="81"/>
      <c r="AD803" s="81"/>
      <c r="AE803" s="81"/>
      <c r="AF803" s="81"/>
    </row>
    <row r="804" spans="1:32">
      <c r="A804" s="76" t="s">
        <v>1538</v>
      </c>
      <c r="B804" s="79">
        <f>B801*2*0.65</f>
        <v>32305</v>
      </c>
      <c r="C804" s="79">
        <f t="shared" ref="C804:I804" si="1335">C801*2*0.65</f>
        <v>36920</v>
      </c>
      <c r="D804" s="79">
        <f t="shared" si="1335"/>
        <v>41535</v>
      </c>
      <c r="E804" s="79">
        <f t="shared" si="1335"/>
        <v>46150</v>
      </c>
      <c r="F804" s="79">
        <f t="shared" si="1335"/>
        <v>49855</v>
      </c>
      <c r="G804" s="79">
        <f t="shared" si="1335"/>
        <v>53560</v>
      </c>
      <c r="H804" s="79">
        <f t="shared" si="1335"/>
        <v>57265</v>
      </c>
      <c r="I804" s="79">
        <f t="shared" si="1335"/>
        <v>60970</v>
      </c>
      <c r="J804" s="80">
        <f t="shared" si="1328"/>
        <v>807</v>
      </c>
      <c r="K804" s="80">
        <f t="shared" si="1329"/>
        <v>865</v>
      </c>
      <c r="L804" s="80">
        <f t="shared" si="1330"/>
        <v>1038</v>
      </c>
      <c r="M804" s="80">
        <f t="shared" si="1331"/>
        <v>1200</v>
      </c>
      <c r="N804" s="80">
        <f t="shared" si="1332"/>
        <v>1339</v>
      </c>
      <c r="O804" s="80">
        <f t="shared" si="1333"/>
        <v>1477</v>
      </c>
      <c r="P804" s="81"/>
      <c r="Q804" s="81"/>
      <c r="R804" s="81"/>
      <c r="S804" s="81"/>
      <c r="T804" s="81"/>
      <c r="U804" s="81"/>
      <c r="V804" s="81"/>
      <c r="W804" s="81"/>
      <c r="X804" s="81"/>
      <c r="Y804" s="81"/>
      <c r="Z804" s="81"/>
      <c r="AA804" s="81"/>
      <c r="AB804" s="81"/>
      <c r="AC804" s="81"/>
      <c r="AD804" s="81"/>
      <c r="AE804" s="81"/>
      <c r="AF804" s="81"/>
    </row>
    <row r="805" spans="1:32">
      <c r="A805" s="76" t="s">
        <v>1539</v>
      </c>
      <c r="B805" s="79">
        <f>B801*2*0.7</f>
        <v>34790</v>
      </c>
      <c r="C805" s="79">
        <f t="shared" ref="C805:I805" si="1336">C801*2*0.7</f>
        <v>39760</v>
      </c>
      <c r="D805" s="79">
        <f t="shared" si="1336"/>
        <v>44730</v>
      </c>
      <c r="E805" s="79">
        <f t="shared" si="1336"/>
        <v>49700</v>
      </c>
      <c r="F805" s="79">
        <f t="shared" si="1336"/>
        <v>53690</v>
      </c>
      <c r="G805" s="79">
        <f t="shared" si="1336"/>
        <v>57679.999999999993</v>
      </c>
      <c r="H805" s="79">
        <f t="shared" si="1336"/>
        <v>61669.999999999993</v>
      </c>
      <c r="I805" s="79">
        <f t="shared" si="1336"/>
        <v>65660</v>
      </c>
      <c r="J805" s="80">
        <f t="shared" si="1328"/>
        <v>869</v>
      </c>
      <c r="K805" s="80">
        <f t="shared" si="1329"/>
        <v>931</v>
      </c>
      <c r="L805" s="80">
        <f t="shared" si="1330"/>
        <v>1118</v>
      </c>
      <c r="M805" s="80">
        <f t="shared" si="1331"/>
        <v>1292</v>
      </c>
      <c r="N805" s="80">
        <f t="shared" si="1332"/>
        <v>1442</v>
      </c>
      <c r="O805" s="80">
        <f t="shared" si="1333"/>
        <v>1591</v>
      </c>
      <c r="P805" s="81"/>
      <c r="Q805" s="81"/>
      <c r="R805" s="81"/>
      <c r="S805" s="81"/>
      <c r="T805" s="81"/>
      <c r="U805" s="81"/>
      <c r="V805" s="81"/>
      <c r="W805" s="81"/>
      <c r="X805" s="81"/>
      <c r="Y805" s="81"/>
      <c r="Z805" s="81"/>
      <c r="AA805" s="81"/>
      <c r="AB805" s="81"/>
      <c r="AC805" s="81"/>
      <c r="AD805" s="81"/>
      <c r="AE805" s="81"/>
      <c r="AF805" s="81"/>
    </row>
    <row r="806" spans="1:32">
      <c r="A806" s="76" t="s">
        <v>1540</v>
      </c>
      <c r="B806" s="79">
        <f>B801*2*0.75</f>
        <v>37275</v>
      </c>
      <c r="C806" s="79">
        <f t="shared" ref="C806:I806" si="1337">C801*2*0.75</f>
        <v>42600</v>
      </c>
      <c r="D806" s="79">
        <f t="shared" si="1337"/>
        <v>47925</v>
      </c>
      <c r="E806" s="79">
        <f t="shared" si="1337"/>
        <v>53250</v>
      </c>
      <c r="F806" s="79">
        <f t="shared" si="1337"/>
        <v>57525</v>
      </c>
      <c r="G806" s="79">
        <f t="shared" si="1337"/>
        <v>61800</v>
      </c>
      <c r="H806" s="79">
        <f t="shared" si="1337"/>
        <v>66075</v>
      </c>
      <c r="I806" s="79">
        <f t="shared" si="1337"/>
        <v>70350</v>
      </c>
      <c r="J806" s="80">
        <f t="shared" si="1328"/>
        <v>931</v>
      </c>
      <c r="K806" s="80">
        <f t="shared" si="1329"/>
        <v>998</v>
      </c>
      <c r="L806" s="80">
        <f t="shared" si="1330"/>
        <v>1198</v>
      </c>
      <c r="M806" s="80">
        <f t="shared" si="1331"/>
        <v>1384</v>
      </c>
      <c r="N806" s="80">
        <f t="shared" si="1332"/>
        <v>1545</v>
      </c>
      <c r="O806" s="80">
        <f t="shared" si="1333"/>
        <v>1705</v>
      </c>
      <c r="P806" s="81"/>
      <c r="Q806" s="81"/>
      <c r="R806" s="81"/>
      <c r="S806" s="81"/>
      <c r="T806" s="81"/>
      <c r="U806" s="81"/>
      <c r="V806" s="81"/>
      <c r="W806" s="81"/>
      <c r="X806" s="81"/>
      <c r="Y806" s="81"/>
      <c r="Z806" s="81"/>
      <c r="AA806" s="81"/>
      <c r="AB806" s="81"/>
      <c r="AC806" s="81"/>
      <c r="AD806" s="81"/>
      <c r="AE806" s="81"/>
      <c r="AF806" s="81"/>
    </row>
    <row r="807" spans="1:32">
      <c r="A807" s="76" t="s">
        <v>1541</v>
      </c>
      <c r="B807" s="79">
        <f>B801*2*0.8</f>
        <v>39760</v>
      </c>
      <c r="C807" s="79">
        <f t="shared" ref="C807:I807" si="1338">C801*2*0.8</f>
        <v>45440</v>
      </c>
      <c r="D807" s="79">
        <f t="shared" si="1338"/>
        <v>51120</v>
      </c>
      <c r="E807" s="79">
        <f t="shared" si="1338"/>
        <v>56800</v>
      </c>
      <c r="F807" s="79">
        <f t="shared" si="1338"/>
        <v>61360</v>
      </c>
      <c r="G807" s="79">
        <f t="shared" si="1338"/>
        <v>65920</v>
      </c>
      <c r="H807" s="79">
        <f t="shared" si="1338"/>
        <v>70480</v>
      </c>
      <c r="I807" s="79">
        <f t="shared" si="1338"/>
        <v>75040</v>
      </c>
      <c r="J807" s="80">
        <f t="shared" si="1328"/>
        <v>994</v>
      </c>
      <c r="K807" s="80">
        <f t="shared" si="1329"/>
        <v>1065</v>
      </c>
      <c r="L807" s="80">
        <f t="shared" si="1330"/>
        <v>1278</v>
      </c>
      <c r="M807" s="80">
        <f t="shared" si="1331"/>
        <v>1477</v>
      </c>
      <c r="N807" s="80">
        <f t="shared" si="1332"/>
        <v>1648</v>
      </c>
      <c r="O807" s="80">
        <f t="shared" si="1333"/>
        <v>1819</v>
      </c>
      <c r="P807" s="81"/>
      <c r="Q807" s="81"/>
      <c r="R807" s="81"/>
      <c r="S807" s="81"/>
      <c r="T807" s="81"/>
      <c r="U807" s="81"/>
      <c r="V807" s="81"/>
      <c r="W807" s="81"/>
      <c r="X807" s="81"/>
      <c r="Y807" s="81"/>
      <c r="Z807" s="81"/>
      <c r="AA807" s="81"/>
      <c r="AB807" s="81"/>
      <c r="AC807" s="81"/>
      <c r="AD807" s="81"/>
      <c r="AE807" s="81"/>
      <c r="AF807" s="81"/>
    </row>
    <row r="808" spans="1:32">
      <c r="A808" s="76" t="s">
        <v>1542</v>
      </c>
      <c r="B808" s="79">
        <f>B801*2*0.9</f>
        <v>44730</v>
      </c>
      <c r="C808" s="79">
        <f t="shared" ref="C808:I808" si="1339">C801*2*0.9</f>
        <v>51120</v>
      </c>
      <c r="D808" s="79">
        <f t="shared" si="1339"/>
        <v>57510</v>
      </c>
      <c r="E808" s="79">
        <f t="shared" si="1339"/>
        <v>63900</v>
      </c>
      <c r="F808" s="79">
        <f t="shared" si="1339"/>
        <v>69030</v>
      </c>
      <c r="G808" s="79">
        <f t="shared" si="1339"/>
        <v>74160</v>
      </c>
      <c r="H808" s="79">
        <f t="shared" si="1339"/>
        <v>79290</v>
      </c>
      <c r="I808" s="79">
        <f t="shared" si="1339"/>
        <v>84420</v>
      </c>
      <c r="J808" s="80">
        <f t="shared" si="1328"/>
        <v>1118</v>
      </c>
      <c r="K808" s="80">
        <f t="shared" si="1329"/>
        <v>1198</v>
      </c>
      <c r="L808" s="80">
        <f t="shared" si="1330"/>
        <v>1437</v>
      </c>
      <c r="M808" s="80">
        <f t="shared" si="1331"/>
        <v>1661</v>
      </c>
      <c r="N808" s="80">
        <f t="shared" si="1332"/>
        <v>1854</v>
      </c>
      <c r="O808" s="80">
        <f t="shared" si="1333"/>
        <v>2046</v>
      </c>
      <c r="P808" s="81"/>
      <c r="Q808" s="81"/>
      <c r="R808" s="81"/>
      <c r="S808" s="81"/>
      <c r="T808" s="81"/>
      <c r="U808" s="81"/>
      <c r="V808" s="81"/>
      <c r="W808" s="81"/>
      <c r="X808" s="81"/>
      <c r="Y808" s="81"/>
      <c r="Z808" s="81"/>
      <c r="AA808" s="81"/>
      <c r="AB808" s="81"/>
      <c r="AC808" s="81"/>
      <c r="AD808" s="81"/>
      <c r="AE808" s="81"/>
      <c r="AF808" s="81"/>
    </row>
    <row r="809" spans="1:32">
      <c r="A809" s="76" t="s">
        <v>1543</v>
      </c>
      <c r="B809" s="79">
        <f>B801*2</f>
        <v>49700</v>
      </c>
      <c r="C809" s="79">
        <f t="shared" ref="C809:I809" si="1340">C801*2</f>
        <v>56800</v>
      </c>
      <c r="D809" s="79">
        <f t="shared" si="1340"/>
        <v>63900</v>
      </c>
      <c r="E809" s="79">
        <f t="shared" si="1340"/>
        <v>71000</v>
      </c>
      <c r="F809" s="79">
        <f t="shared" si="1340"/>
        <v>76700</v>
      </c>
      <c r="G809" s="79">
        <f t="shared" si="1340"/>
        <v>82400</v>
      </c>
      <c r="H809" s="79">
        <f t="shared" si="1340"/>
        <v>88100</v>
      </c>
      <c r="I809" s="79">
        <f t="shared" si="1340"/>
        <v>93800</v>
      </c>
      <c r="J809" s="80">
        <f>J801*2</f>
        <v>1242</v>
      </c>
      <c r="K809" s="80">
        <f t="shared" ref="K809:O809" si="1341">K801*2</f>
        <v>1330</v>
      </c>
      <c r="L809" s="80">
        <f t="shared" si="1341"/>
        <v>1596</v>
      </c>
      <c r="M809" s="80">
        <f t="shared" si="1341"/>
        <v>1846</v>
      </c>
      <c r="N809" s="80">
        <f t="shared" si="1341"/>
        <v>2060</v>
      </c>
      <c r="O809" s="80">
        <f t="shared" si="1341"/>
        <v>2272</v>
      </c>
      <c r="P809" s="81"/>
      <c r="Q809" s="81"/>
      <c r="R809" s="81"/>
      <c r="S809" s="81"/>
      <c r="T809" s="81"/>
      <c r="U809" s="81"/>
      <c r="V809" s="81"/>
      <c r="W809" s="81"/>
      <c r="X809" s="81"/>
      <c r="Y809" s="81"/>
      <c r="Z809" s="81"/>
      <c r="AA809" s="81"/>
      <c r="AB809" s="81"/>
      <c r="AC809" s="81"/>
      <c r="AD809" s="81"/>
      <c r="AE809" s="81"/>
      <c r="AF809" s="81"/>
    </row>
    <row r="810" spans="1:32">
      <c r="A810" s="76" t="s">
        <v>1544</v>
      </c>
      <c r="B810" s="79">
        <f>B801*2*1.1</f>
        <v>54670.000000000007</v>
      </c>
      <c r="C810" s="79">
        <f t="shared" ref="C810:I810" si="1342">C801*2*1.1</f>
        <v>62480.000000000007</v>
      </c>
      <c r="D810" s="79">
        <f t="shared" si="1342"/>
        <v>70290</v>
      </c>
      <c r="E810" s="79">
        <f t="shared" si="1342"/>
        <v>78100</v>
      </c>
      <c r="F810" s="79">
        <f t="shared" si="1342"/>
        <v>84370</v>
      </c>
      <c r="G810" s="79">
        <f t="shared" si="1342"/>
        <v>90640.000000000015</v>
      </c>
      <c r="H810" s="79">
        <f t="shared" si="1342"/>
        <v>96910.000000000015</v>
      </c>
      <c r="I810" s="79">
        <f t="shared" si="1342"/>
        <v>103180.00000000001</v>
      </c>
      <c r="J810" s="80">
        <f t="shared" ref="J810:J818" si="1343">TRUNC(B810/12*0.3)</f>
        <v>1366</v>
      </c>
      <c r="K810" s="80">
        <f t="shared" ref="K810:K818" si="1344">TRUNC((B810+C810)/2/12*0.3)</f>
        <v>1464</v>
      </c>
      <c r="L810" s="80">
        <f t="shared" ref="L810:L818" si="1345">TRUNC((D810)/12*0.3)</f>
        <v>1757</v>
      </c>
      <c r="M810" s="80">
        <f t="shared" ref="M810:M818" si="1346">TRUNC(((E810+F810)/2)/12*0.3)</f>
        <v>2030</v>
      </c>
      <c r="N810" s="80">
        <f t="shared" ref="N810:N818" si="1347">TRUNC(G810/12*0.3)</f>
        <v>2266</v>
      </c>
      <c r="O810" s="80">
        <f t="shared" ref="O810:O818" si="1348">TRUNC(((H810+I810)/2)/12*0.3)</f>
        <v>2501</v>
      </c>
      <c r="P810" s="81"/>
      <c r="Q810" s="81"/>
      <c r="R810" s="81"/>
      <c r="S810" s="81"/>
      <c r="T810" s="81"/>
      <c r="U810" s="81"/>
      <c r="V810" s="81"/>
      <c r="W810" s="81"/>
      <c r="X810" s="81"/>
      <c r="Y810" s="81"/>
      <c r="Z810" s="81"/>
      <c r="AA810" s="81"/>
      <c r="AB810" s="81"/>
      <c r="AC810" s="81"/>
      <c r="AD810" s="81"/>
      <c r="AE810" s="81"/>
      <c r="AF810" s="81"/>
    </row>
    <row r="811" spans="1:32">
      <c r="A811" s="76" t="s">
        <v>1545</v>
      </c>
      <c r="B811" s="79">
        <f>B801*2*1.2</f>
        <v>59640</v>
      </c>
      <c r="C811" s="79">
        <f t="shared" ref="C811:I811" si="1349">C801*2*1.2</f>
        <v>68160</v>
      </c>
      <c r="D811" s="79">
        <f t="shared" si="1349"/>
        <v>76680</v>
      </c>
      <c r="E811" s="79">
        <f t="shared" si="1349"/>
        <v>85200</v>
      </c>
      <c r="F811" s="79">
        <f t="shared" si="1349"/>
        <v>92040</v>
      </c>
      <c r="G811" s="79">
        <f t="shared" si="1349"/>
        <v>98880</v>
      </c>
      <c r="H811" s="79">
        <f t="shared" si="1349"/>
        <v>105720</v>
      </c>
      <c r="I811" s="79">
        <f t="shared" si="1349"/>
        <v>112560</v>
      </c>
      <c r="J811" s="80">
        <f t="shared" si="1343"/>
        <v>1491</v>
      </c>
      <c r="K811" s="80">
        <f t="shared" si="1344"/>
        <v>1597</v>
      </c>
      <c r="L811" s="80">
        <f t="shared" si="1345"/>
        <v>1917</v>
      </c>
      <c r="M811" s="80">
        <f t="shared" si="1346"/>
        <v>2215</v>
      </c>
      <c r="N811" s="80">
        <f t="shared" si="1347"/>
        <v>2472</v>
      </c>
      <c r="O811" s="80">
        <f t="shared" si="1348"/>
        <v>2728</v>
      </c>
      <c r="P811" s="81"/>
      <c r="Q811" s="81"/>
      <c r="R811" s="81"/>
      <c r="S811" s="81"/>
      <c r="T811" s="81"/>
      <c r="U811" s="81"/>
      <c r="V811" s="81"/>
      <c r="W811" s="81"/>
      <c r="X811" s="81"/>
      <c r="Y811" s="81"/>
      <c r="Z811" s="81"/>
      <c r="AA811" s="81"/>
      <c r="AB811" s="81"/>
      <c r="AC811" s="81"/>
      <c r="AD811" s="81"/>
      <c r="AE811" s="81"/>
      <c r="AF811" s="81"/>
    </row>
    <row r="812" spans="1:32">
      <c r="A812" s="76" t="s">
        <v>1546</v>
      </c>
      <c r="B812" s="79">
        <f>B819*2*0.15</f>
        <v>8880</v>
      </c>
      <c r="C812" s="79">
        <f>C819*2*0.15</f>
        <v>10140</v>
      </c>
      <c r="D812" s="79">
        <f>D819*2*0.15</f>
        <v>11415</v>
      </c>
      <c r="E812" s="79">
        <f>E819*2*0.15</f>
        <v>12675</v>
      </c>
      <c r="F812" s="79">
        <f>F819*2*0.15</f>
        <v>13695</v>
      </c>
      <c r="G812" s="79">
        <f t="shared" ref="G812:I812" si="1350">G819*2*0.15</f>
        <v>14715</v>
      </c>
      <c r="H812" s="79">
        <f t="shared" si="1350"/>
        <v>15720</v>
      </c>
      <c r="I812" s="79">
        <f t="shared" si="1350"/>
        <v>16740</v>
      </c>
      <c r="J812" s="80">
        <f t="shared" si="1343"/>
        <v>222</v>
      </c>
      <c r="K812" s="80">
        <f t="shared" si="1344"/>
        <v>237</v>
      </c>
      <c r="L812" s="80">
        <f t="shared" si="1345"/>
        <v>285</v>
      </c>
      <c r="M812" s="80">
        <f t="shared" si="1346"/>
        <v>329</v>
      </c>
      <c r="N812" s="80">
        <f t="shared" si="1347"/>
        <v>367</v>
      </c>
      <c r="O812" s="80">
        <f t="shared" si="1348"/>
        <v>405</v>
      </c>
      <c r="P812" s="81"/>
      <c r="Q812" s="81"/>
      <c r="R812" s="81"/>
      <c r="S812" s="81"/>
      <c r="T812" s="81"/>
      <c r="U812" s="81"/>
      <c r="V812" s="81"/>
      <c r="W812" s="81"/>
      <c r="X812" s="81"/>
      <c r="Y812" s="81"/>
      <c r="Z812" s="81"/>
      <c r="AA812" s="81"/>
      <c r="AB812" s="81"/>
      <c r="AC812" s="81"/>
      <c r="AD812" s="81"/>
      <c r="AE812" s="81"/>
      <c r="AF812" s="81"/>
    </row>
    <row r="813" spans="1:32">
      <c r="A813" s="76" t="s">
        <v>1547</v>
      </c>
      <c r="B813" s="79">
        <f>B819*2*0.2</f>
        <v>11840</v>
      </c>
      <c r="C813" s="79">
        <f t="shared" ref="C813:I813" si="1351">C819*2*0.2</f>
        <v>13520</v>
      </c>
      <c r="D813" s="79">
        <f t="shared" si="1351"/>
        <v>15220</v>
      </c>
      <c r="E813" s="79">
        <f t="shared" si="1351"/>
        <v>16900</v>
      </c>
      <c r="F813" s="79">
        <f t="shared" si="1351"/>
        <v>18260</v>
      </c>
      <c r="G813" s="79">
        <f t="shared" si="1351"/>
        <v>19620</v>
      </c>
      <c r="H813" s="79">
        <f t="shared" si="1351"/>
        <v>20960</v>
      </c>
      <c r="I813" s="79">
        <f t="shared" si="1351"/>
        <v>22320</v>
      </c>
      <c r="J813" s="80">
        <f t="shared" si="1343"/>
        <v>296</v>
      </c>
      <c r="K813" s="80">
        <f t="shared" si="1344"/>
        <v>317</v>
      </c>
      <c r="L813" s="80">
        <f t="shared" si="1345"/>
        <v>380</v>
      </c>
      <c r="M813" s="80">
        <f t="shared" si="1346"/>
        <v>439</v>
      </c>
      <c r="N813" s="80">
        <f t="shared" si="1347"/>
        <v>490</v>
      </c>
      <c r="O813" s="80">
        <f t="shared" si="1348"/>
        <v>541</v>
      </c>
      <c r="P813" s="81"/>
      <c r="Q813" s="81"/>
      <c r="R813" s="81"/>
      <c r="S813" s="81"/>
      <c r="T813" s="81"/>
      <c r="U813" s="81"/>
      <c r="V813" s="81"/>
      <c r="W813" s="81"/>
      <c r="X813" s="81"/>
      <c r="Y813" s="81"/>
      <c r="Z813" s="81"/>
      <c r="AA813" s="81"/>
      <c r="AB813" s="81"/>
      <c r="AC813" s="81"/>
      <c r="AD813" s="81"/>
      <c r="AE813" s="81"/>
      <c r="AF813" s="81"/>
    </row>
    <row r="814" spans="1:32">
      <c r="A814" s="76" t="s">
        <v>1548</v>
      </c>
      <c r="B814" s="79">
        <f>B819*2*0.25</f>
        <v>14800</v>
      </c>
      <c r="C814" s="79">
        <f t="shared" ref="C814:I814" si="1352">C819*2*0.25</f>
        <v>16900</v>
      </c>
      <c r="D814" s="79">
        <f t="shared" si="1352"/>
        <v>19025</v>
      </c>
      <c r="E814" s="79">
        <f t="shared" si="1352"/>
        <v>21125</v>
      </c>
      <c r="F814" s="79">
        <f t="shared" si="1352"/>
        <v>22825</v>
      </c>
      <c r="G814" s="79">
        <f t="shared" si="1352"/>
        <v>24525</v>
      </c>
      <c r="H814" s="79">
        <f t="shared" si="1352"/>
        <v>26200</v>
      </c>
      <c r="I814" s="79">
        <f t="shared" si="1352"/>
        <v>27900</v>
      </c>
      <c r="J814" s="80">
        <f t="shared" si="1343"/>
        <v>370</v>
      </c>
      <c r="K814" s="80">
        <f t="shared" si="1344"/>
        <v>396</v>
      </c>
      <c r="L814" s="80">
        <f t="shared" si="1345"/>
        <v>475</v>
      </c>
      <c r="M814" s="80">
        <f t="shared" si="1346"/>
        <v>549</v>
      </c>
      <c r="N814" s="80">
        <f t="shared" si="1347"/>
        <v>613</v>
      </c>
      <c r="O814" s="80">
        <f t="shared" si="1348"/>
        <v>676</v>
      </c>
      <c r="P814" s="81"/>
      <c r="Q814" s="81"/>
      <c r="R814" s="81"/>
      <c r="S814" s="81"/>
      <c r="T814" s="81"/>
      <c r="U814" s="81"/>
      <c r="V814" s="81"/>
      <c r="W814" s="81"/>
      <c r="X814" s="81"/>
      <c r="Y814" s="81"/>
      <c r="Z814" s="81"/>
      <c r="AA814" s="81"/>
      <c r="AB814" s="81"/>
      <c r="AC814" s="81"/>
      <c r="AD814" s="81"/>
      <c r="AE814" s="81"/>
      <c r="AF814" s="81"/>
    </row>
    <row r="815" spans="1:32">
      <c r="A815" s="76" t="s">
        <v>1549</v>
      </c>
      <c r="B815" s="79">
        <f>B819*2*0.3</f>
        <v>17760</v>
      </c>
      <c r="C815" s="79">
        <f t="shared" ref="C815:I815" si="1353">C819*2*0.3</f>
        <v>20280</v>
      </c>
      <c r="D815" s="79">
        <f t="shared" si="1353"/>
        <v>22830</v>
      </c>
      <c r="E815" s="79">
        <f t="shared" si="1353"/>
        <v>25350</v>
      </c>
      <c r="F815" s="79">
        <f t="shared" si="1353"/>
        <v>27390</v>
      </c>
      <c r="G815" s="79">
        <f t="shared" si="1353"/>
        <v>29430</v>
      </c>
      <c r="H815" s="79">
        <f t="shared" si="1353"/>
        <v>31440</v>
      </c>
      <c r="I815" s="79">
        <f t="shared" si="1353"/>
        <v>33480</v>
      </c>
      <c r="J815" s="80">
        <f t="shared" si="1343"/>
        <v>444</v>
      </c>
      <c r="K815" s="80">
        <f t="shared" si="1344"/>
        <v>475</v>
      </c>
      <c r="L815" s="80">
        <f t="shared" si="1345"/>
        <v>570</v>
      </c>
      <c r="M815" s="80">
        <f t="shared" si="1346"/>
        <v>659</v>
      </c>
      <c r="N815" s="80">
        <f t="shared" si="1347"/>
        <v>735</v>
      </c>
      <c r="O815" s="80">
        <f t="shared" si="1348"/>
        <v>811</v>
      </c>
      <c r="P815" s="81"/>
      <c r="Q815" s="81"/>
      <c r="R815" s="81"/>
      <c r="S815" s="81"/>
      <c r="T815" s="81"/>
      <c r="U815" s="81"/>
      <c r="V815" s="81"/>
      <c r="W815" s="81"/>
      <c r="X815" s="81"/>
      <c r="Y815" s="81"/>
      <c r="Z815" s="81"/>
      <c r="AA815" s="81"/>
      <c r="AB815" s="81"/>
      <c r="AC815" s="81"/>
      <c r="AD815" s="81"/>
      <c r="AE815" s="81"/>
      <c r="AF815" s="81"/>
    </row>
    <row r="816" spans="1:32">
      <c r="A816" s="76" t="s">
        <v>1550</v>
      </c>
      <c r="B816" s="79">
        <f>B819*2*0.35</f>
        <v>20720</v>
      </c>
      <c r="C816" s="79">
        <f t="shared" ref="C816:I816" si="1354">C819*2*0.35</f>
        <v>23660</v>
      </c>
      <c r="D816" s="79">
        <f t="shared" si="1354"/>
        <v>26635</v>
      </c>
      <c r="E816" s="79">
        <f t="shared" si="1354"/>
        <v>29574.999999999996</v>
      </c>
      <c r="F816" s="79">
        <f t="shared" si="1354"/>
        <v>31954.999999999996</v>
      </c>
      <c r="G816" s="79">
        <f t="shared" si="1354"/>
        <v>34335</v>
      </c>
      <c r="H816" s="79">
        <f t="shared" si="1354"/>
        <v>36680</v>
      </c>
      <c r="I816" s="79">
        <f t="shared" si="1354"/>
        <v>39060</v>
      </c>
      <c r="J816" s="80">
        <f t="shared" si="1343"/>
        <v>518</v>
      </c>
      <c r="K816" s="80">
        <f t="shared" si="1344"/>
        <v>554</v>
      </c>
      <c r="L816" s="80">
        <f t="shared" si="1345"/>
        <v>665</v>
      </c>
      <c r="M816" s="80">
        <f t="shared" si="1346"/>
        <v>769</v>
      </c>
      <c r="N816" s="80">
        <f t="shared" si="1347"/>
        <v>858</v>
      </c>
      <c r="O816" s="80">
        <f t="shared" si="1348"/>
        <v>946</v>
      </c>
      <c r="P816" s="81"/>
      <c r="Q816" s="81"/>
      <c r="R816" s="81"/>
      <c r="S816" s="81"/>
      <c r="T816" s="81"/>
      <c r="U816" s="81"/>
      <c r="V816" s="81"/>
      <c r="W816" s="81"/>
      <c r="X816" s="81"/>
      <c r="Y816" s="81"/>
      <c r="Z816" s="81"/>
      <c r="AA816" s="81"/>
      <c r="AB816" s="81"/>
      <c r="AC816" s="81"/>
      <c r="AD816" s="81"/>
      <c r="AE816" s="81"/>
      <c r="AF816" s="81"/>
    </row>
    <row r="817" spans="1:32">
      <c r="A817" s="76" t="s">
        <v>1551</v>
      </c>
      <c r="B817" s="79">
        <f>B819*2*0.4</f>
        <v>23680</v>
      </c>
      <c r="C817" s="79">
        <f t="shared" ref="C817:I817" si="1355">C819*2*0.4</f>
        <v>27040</v>
      </c>
      <c r="D817" s="79">
        <f t="shared" si="1355"/>
        <v>30440</v>
      </c>
      <c r="E817" s="79">
        <f t="shared" si="1355"/>
        <v>33800</v>
      </c>
      <c r="F817" s="79">
        <f t="shared" si="1355"/>
        <v>36520</v>
      </c>
      <c r="G817" s="79">
        <f t="shared" si="1355"/>
        <v>39240</v>
      </c>
      <c r="H817" s="79">
        <f t="shared" si="1355"/>
        <v>41920</v>
      </c>
      <c r="I817" s="79">
        <f t="shared" si="1355"/>
        <v>44640</v>
      </c>
      <c r="J817" s="80">
        <f t="shared" si="1343"/>
        <v>592</v>
      </c>
      <c r="K817" s="80">
        <f t="shared" si="1344"/>
        <v>634</v>
      </c>
      <c r="L817" s="80">
        <f t="shared" si="1345"/>
        <v>761</v>
      </c>
      <c r="M817" s="80">
        <f t="shared" si="1346"/>
        <v>879</v>
      </c>
      <c r="N817" s="80">
        <f t="shared" si="1347"/>
        <v>981</v>
      </c>
      <c r="O817" s="80">
        <f t="shared" si="1348"/>
        <v>1082</v>
      </c>
      <c r="P817" s="81"/>
      <c r="Q817" s="81"/>
      <c r="R817" s="81"/>
      <c r="S817" s="81"/>
      <c r="T817" s="81"/>
      <c r="U817" s="81"/>
      <c r="V817" s="81"/>
      <c r="W817" s="81"/>
      <c r="X817" s="81"/>
      <c r="Y817" s="81"/>
      <c r="Z817" s="81"/>
      <c r="AA817" s="81"/>
      <c r="AB817" s="81"/>
      <c r="AC817" s="81"/>
      <c r="AD817" s="81"/>
      <c r="AE817" s="81"/>
      <c r="AF817" s="81"/>
    </row>
    <row r="818" spans="1:32">
      <c r="A818" s="76" t="s">
        <v>1552</v>
      </c>
      <c r="B818" s="79">
        <f>B819*2*0.45</f>
        <v>26640</v>
      </c>
      <c r="C818" s="79">
        <f t="shared" ref="C818:I818" si="1356">C819*2*0.45</f>
        <v>30420</v>
      </c>
      <c r="D818" s="79">
        <f t="shared" si="1356"/>
        <v>34245</v>
      </c>
      <c r="E818" s="79">
        <f t="shared" si="1356"/>
        <v>38025</v>
      </c>
      <c r="F818" s="79">
        <f t="shared" si="1356"/>
        <v>41085</v>
      </c>
      <c r="G818" s="79">
        <f t="shared" si="1356"/>
        <v>44145</v>
      </c>
      <c r="H818" s="79">
        <f t="shared" si="1356"/>
        <v>47160</v>
      </c>
      <c r="I818" s="79">
        <f t="shared" si="1356"/>
        <v>50220</v>
      </c>
      <c r="J818" s="80">
        <f t="shared" si="1343"/>
        <v>666</v>
      </c>
      <c r="K818" s="80">
        <f t="shared" si="1344"/>
        <v>713</v>
      </c>
      <c r="L818" s="80">
        <f t="shared" si="1345"/>
        <v>856</v>
      </c>
      <c r="M818" s="80">
        <f t="shared" si="1346"/>
        <v>988</v>
      </c>
      <c r="N818" s="80">
        <f t="shared" si="1347"/>
        <v>1103</v>
      </c>
      <c r="O818" s="80">
        <f t="shared" si="1348"/>
        <v>1217</v>
      </c>
      <c r="P818" s="81"/>
      <c r="Q818" s="81"/>
      <c r="R818" s="81"/>
      <c r="S818" s="81"/>
      <c r="T818" s="81"/>
      <c r="U818" s="81"/>
      <c r="V818" s="81"/>
      <c r="W818" s="81"/>
      <c r="X818" s="81"/>
      <c r="Y818" s="81"/>
      <c r="Z818" s="81"/>
      <c r="AA818" s="81"/>
      <c r="AB818" s="81"/>
      <c r="AC818" s="81"/>
      <c r="AD818" s="81"/>
      <c r="AE818" s="81"/>
      <c r="AF818" s="81"/>
    </row>
    <row r="819" spans="1:32">
      <c r="A819" s="82" t="s">
        <v>1553</v>
      </c>
      <c r="B819" s="84">
        <f>'MTSP 50% Income Limits '!B47</f>
        <v>29600</v>
      </c>
      <c r="C819" s="84">
        <f>'MTSP 50% Income Limits '!C47</f>
        <v>33800</v>
      </c>
      <c r="D819" s="84">
        <f>'MTSP 50% Income Limits '!D47</f>
        <v>38050</v>
      </c>
      <c r="E819" s="84">
        <f>'MTSP 50% Income Limits '!E47</f>
        <v>42250</v>
      </c>
      <c r="F819" s="84">
        <f>'MTSP 50% Income Limits '!F47</f>
        <v>45650</v>
      </c>
      <c r="G819" s="84">
        <f>'MTSP 50% Income Limits '!G47</f>
        <v>49050</v>
      </c>
      <c r="H819" s="84">
        <f>'MTSP 50% Income Limits '!H47</f>
        <v>52400</v>
      </c>
      <c r="I819" s="84">
        <f>'MTSP 50% Income Limits '!I47</f>
        <v>55800</v>
      </c>
      <c r="J819" s="83">
        <f>TRUNC(B819/12*0.3)</f>
        <v>740</v>
      </c>
      <c r="K819" s="83">
        <f>TRUNC((B819+C819)/2/12*0.3)</f>
        <v>792</v>
      </c>
      <c r="L819" s="83">
        <f>TRUNC((D819)/12*0.3)</f>
        <v>951</v>
      </c>
      <c r="M819" s="83">
        <f>TRUNC(((E819+F819)/2)/12*0.3)</f>
        <v>1098</v>
      </c>
      <c r="N819" s="83">
        <f>TRUNC(G819/12*0.3)</f>
        <v>1226</v>
      </c>
      <c r="O819" s="83">
        <f>TRUNC(((H819+I819)/2)/12*0.3)</f>
        <v>1352</v>
      </c>
      <c r="P819" s="81"/>
      <c r="Q819" s="81"/>
      <c r="R819" s="81"/>
      <c r="S819" s="81"/>
      <c r="T819" s="81"/>
      <c r="U819" s="81"/>
      <c r="V819" s="81"/>
      <c r="W819" s="81"/>
      <c r="X819" s="81"/>
      <c r="Y819" s="81"/>
      <c r="Z819" s="81"/>
      <c r="AA819" s="81"/>
      <c r="AB819" s="81"/>
      <c r="AC819" s="81"/>
      <c r="AD819" s="81"/>
      <c r="AE819" s="81"/>
      <c r="AF819" s="81"/>
    </row>
    <row r="820" spans="1:32">
      <c r="A820" s="76" t="s">
        <v>1554</v>
      </c>
      <c r="B820" s="79">
        <f>B819*2*0.55</f>
        <v>32560.000000000004</v>
      </c>
      <c r="C820" s="79">
        <f t="shared" ref="C820:I820" si="1357">C819*2*0.55</f>
        <v>37180</v>
      </c>
      <c r="D820" s="79">
        <f t="shared" si="1357"/>
        <v>41855</v>
      </c>
      <c r="E820" s="79">
        <f t="shared" si="1357"/>
        <v>46475.000000000007</v>
      </c>
      <c r="F820" s="79">
        <f t="shared" si="1357"/>
        <v>50215.000000000007</v>
      </c>
      <c r="G820" s="79">
        <f t="shared" si="1357"/>
        <v>53955.000000000007</v>
      </c>
      <c r="H820" s="79">
        <f t="shared" si="1357"/>
        <v>57640.000000000007</v>
      </c>
      <c r="I820" s="79">
        <f t="shared" si="1357"/>
        <v>61380.000000000007</v>
      </c>
      <c r="J820" s="80">
        <f t="shared" ref="J820:J826" si="1358">TRUNC(B820/12*0.3)</f>
        <v>814</v>
      </c>
      <c r="K820" s="80">
        <f t="shared" ref="K820:K826" si="1359">TRUNC((B820+C820)/2/12*0.3)</f>
        <v>871</v>
      </c>
      <c r="L820" s="80">
        <f t="shared" ref="L820:L826" si="1360">TRUNC((D820)/12*0.3)</f>
        <v>1046</v>
      </c>
      <c r="M820" s="80">
        <f t="shared" ref="M820:M826" si="1361">TRUNC(((E820+F820)/2)/12*0.3)</f>
        <v>1208</v>
      </c>
      <c r="N820" s="80">
        <f t="shared" ref="N820:N826" si="1362">TRUNC(G820/12*0.3)</f>
        <v>1348</v>
      </c>
      <c r="O820" s="80">
        <f t="shared" ref="O820:O826" si="1363">TRUNC(((H820+I820)/2)/12*0.3)</f>
        <v>1487</v>
      </c>
      <c r="P820" s="81"/>
      <c r="Q820" s="81"/>
      <c r="R820" s="81"/>
      <c r="S820" s="81"/>
      <c r="T820" s="81"/>
      <c r="U820" s="81"/>
      <c r="V820" s="81"/>
      <c r="W820" s="81"/>
      <c r="X820" s="81"/>
      <c r="Y820" s="81"/>
      <c r="Z820" s="81"/>
      <c r="AA820" s="81"/>
      <c r="AB820" s="81"/>
      <c r="AC820" s="81"/>
      <c r="AD820" s="81"/>
      <c r="AE820" s="81"/>
      <c r="AF820" s="81"/>
    </row>
    <row r="821" spans="1:32">
      <c r="A821" s="76" t="s">
        <v>1555</v>
      </c>
      <c r="B821" s="79">
        <f>B819*2*0.6</f>
        <v>35520</v>
      </c>
      <c r="C821" s="79">
        <f t="shared" ref="C821:I821" si="1364">C819*2*0.6</f>
        <v>40560</v>
      </c>
      <c r="D821" s="79">
        <f t="shared" si="1364"/>
        <v>45660</v>
      </c>
      <c r="E821" s="79">
        <f t="shared" si="1364"/>
        <v>50700</v>
      </c>
      <c r="F821" s="79">
        <f t="shared" si="1364"/>
        <v>54780</v>
      </c>
      <c r="G821" s="79">
        <f t="shared" si="1364"/>
        <v>58860</v>
      </c>
      <c r="H821" s="79">
        <f t="shared" si="1364"/>
        <v>62880</v>
      </c>
      <c r="I821" s="79">
        <f t="shared" si="1364"/>
        <v>66960</v>
      </c>
      <c r="J821" s="80">
        <f t="shared" si="1358"/>
        <v>888</v>
      </c>
      <c r="K821" s="80">
        <f t="shared" si="1359"/>
        <v>951</v>
      </c>
      <c r="L821" s="80">
        <f t="shared" si="1360"/>
        <v>1141</v>
      </c>
      <c r="M821" s="80">
        <f t="shared" si="1361"/>
        <v>1318</v>
      </c>
      <c r="N821" s="80">
        <f t="shared" si="1362"/>
        <v>1471</v>
      </c>
      <c r="O821" s="80">
        <f t="shared" si="1363"/>
        <v>1623</v>
      </c>
      <c r="P821" s="81"/>
      <c r="Q821" s="81"/>
      <c r="R821" s="81"/>
      <c r="S821" s="81"/>
      <c r="T821" s="81"/>
      <c r="U821" s="81"/>
      <c r="V821" s="81"/>
      <c r="W821" s="81"/>
      <c r="X821" s="81"/>
      <c r="Y821" s="81"/>
      <c r="Z821" s="81"/>
      <c r="AA821" s="81"/>
      <c r="AB821" s="81"/>
      <c r="AC821" s="81"/>
      <c r="AD821" s="81"/>
      <c r="AE821" s="81"/>
      <c r="AF821" s="81"/>
    </row>
    <row r="822" spans="1:32">
      <c r="A822" s="76" t="s">
        <v>1556</v>
      </c>
      <c r="B822" s="79">
        <f>B819*2*0.65</f>
        <v>38480</v>
      </c>
      <c r="C822" s="79">
        <f t="shared" ref="C822:I822" si="1365">C819*2*0.65</f>
        <v>43940</v>
      </c>
      <c r="D822" s="79">
        <f t="shared" si="1365"/>
        <v>49465</v>
      </c>
      <c r="E822" s="79">
        <f t="shared" si="1365"/>
        <v>54925</v>
      </c>
      <c r="F822" s="79">
        <f t="shared" si="1365"/>
        <v>59345</v>
      </c>
      <c r="G822" s="79">
        <f t="shared" si="1365"/>
        <v>63765</v>
      </c>
      <c r="H822" s="79">
        <f t="shared" si="1365"/>
        <v>68120</v>
      </c>
      <c r="I822" s="79">
        <f t="shared" si="1365"/>
        <v>72540</v>
      </c>
      <c r="J822" s="80">
        <f t="shared" si="1358"/>
        <v>962</v>
      </c>
      <c r="K822" s="80">
        <f t="shared" si="1359"/>
        <v>1030</v>
      </c>
      <c r="L822" s="80">
        <f t="shared" si="1360"/>
        <v>1236</v>
      </c>
      <c r="M822" s="80">
        <f t="shared" si="1361"/>
        <v>1428</v>
      </c>
      <c r="N822" s="80">
        <f t="shared" si="1362"/>
        <v>1594</v>
      </c>
      <c r="O822" s="80">
        <f t="shared" si="1363"/>
        <v>1758</v>
      </c>
      <c r="P822" s="81"/>
      <c r="Q822" s="81"/>
      <c r="R822" s="81"/>
      <c r="S822" s="81"/>
      <c r="T822" s="81"/>
      <c r="U822" s="81"/>
      <c r="V822" s="81"/>
      <c r="W822" s="81"/>
      <c r="X822" s="81"/>
      <c r="Y822" s="81"/>
      <c r="Z822" s="81"/>
      <c r="AA822" s="81"/>
      <c r="AB822" s="81"/>
      <c r="AC822" s="81"/>
      <c r="AD822" s="81"/>
      <c r="AE822" s="81"/>
      <c r="AF822" s="81"/>
    </row>
    <row r="823" spans="1:32">
      <c r="A823" s="76" t="s">
        <v>1557</v>
      </c>
      <c r="B823" s="79">
        <f>B819*2*0.7</f>
        <v>41440</v>
      </c>
      <c r="C823" s="79">
        <f t="shared" ref="C823:I823" si="1366">C819*2*0.7</f>
        <v>47320</v>
      </c>
      <c r="D823" s="79">
        <f t="shared" si="1366"/>
        <v>53270</v>
      </c>
      <c r="E823" s="79">
        <f t="shared" si="1366"/>
        <v>59149.999999999993</v>
      </c>
      <c r="F823" s="79">
        <f t="shared" si="1366"/>
        <v>63909.999999999993</v>
      </c>
      <c r="G823" s="79">
        <f t="shared" si="1366"/>
        <v>68670</v>
      </c>
      <c r="H823" s="79">
        <f t="shared" si="1366"/>
        <v>73360</v>
      </c>
      <c r="I823" s="79">
        <f t="shared" si="1366"/>
        <v>78120</v>
      </c>
      <c r="J823" s="80">
        <f t="shared" si="1358"/>
        <v>1036</v>
      </c>
      <c r="K823" s="80">
        <f t="shared" si="1359"/>
        <v>1109</v>
      </c>
      <c r="L823" s="80">
        <f t="shared" si="1360"/>
        <v>1331</v>
      </c>
      <c r="M823" s="80">
        <f t="shared" si="1361"/>
        <v>1538</v>
      </c>
      <c r="N823" s="80">
        <f t="shared" si="1362"/>
        <v>1716</v>
      </c>
      <c r="O823" s="80">
        <f t="shared" si="1363"/>
        <v>1893</v>
      </c>
      <c r="P823" s="81"/>
      <c r="Q823" s="81"/>
      <c r="R823" s="81"/>
      <c r="S823" s="81"/>
      <c r="T823" s="81"/>
      <c r="U823" s="81"/>
      <c r="V823" s="81"/>
      <c r="W823" s="81"/>
      <c r="X823" s="81"/>
      <c r="Y823" s="81"/>
      <c r="Z823" s="81"/>
      <c r="AA823" s="81"/>
      <c r="AB823" s="81"/>
      <c r="AC823" s="81"/>
      <c r="AD823" s="81"/>
      <c r="AE823" s="81"/>
      <c r="AF823" s="81"/>
    </row>
    <row r="824" spans="1:32">
      <c r="A824" s="76" t="s">
        <v>1558</v>
      </c>
      <c r="B824" s="79">
        <f>B819*2*0.75</f>
        <v>44400</v>
      </c>
      <c r="C824" s="79">
        <f t="shared" ref="C824:I824" si="1367">C819*2*0.75</f>
        <v>50700</v>
      </c>
      <c r="D824" s="79">
        <f t="shared" si="1367"/>
        <v>57075</v>
      </c>
      <c r="E824" s="79">
        <f t="shared" si="1367"/>
        <v>63375</v>
      </c>
      <c r="F824" s="79">
        <f t="shared" si="1367"/>
        <v>68475</v>
      </c>
      <c r="G824" s="79">
        <f t="shared" si="1367"/>
        <v>73575</v>
      </c>
      <c r="H824" s="79">
        <f t="shared" si="1367"/>
        <v>78600</v>
      </c>
      <c r="I824" s="79">
        <f t="shared" si="1367"/>
        <v>83700</v>
      </c>
      <c r="J824" s="80">
        <f t="shared" si="1358"/>
        <v>1110</v>
      </c>
      <c r="K824" s="80">
        <f t="shared" si="1359"/>
        <v>1188</v>
      </c>
      <c r="L824" s="80">
        <f t="shared" si="1360"/>
        <v>1426</v>
      </c>
      <c r="M824" s="80">
        <f t="shared" si="1361"/>
        <v>1648</v>
      </c>
      <c r="N824" s="80">
        <f t="shared" si="1362"/>
        <v>1839</v>
      </c>
      <c r="O824" s="80">
        <f t="shared" si="1363"/>
        <v>2028</v>
      </c>
      <c r="P824" s="81"/>
      <c r="Q824" s="81"/>
      <c r="R824" s="81"/>
      <c r="S824" s="81"/>
      <c r="T824" s="81"/>
      <c r="U824" s="81"/>
      <c r="V824" s="81"/>
      <c r="W824" s="81"/>
      <c r="X824" s="81"/>
      <c r="Y824" s="81"/>
      <c r="Z824" s="81"/>
      <c r="AA824" s="81"/>
      <c r="AB824" s="81"/>
      <c r="AC824" s="81"/>
      <c r="AD824" s="81"/>
      <c r="AE824" s="81"/>
      <c r="AF824" s="81"/>
    </row>
    <row r="825" spans="1:32">
      <c r="A825" s="76" t="s">
        <v>1559</v>
      </c>
      <c r="B825" s="79">
        <f>B819*2*0.8</f>
        <v>47360</v>
      </c>
      <c r="C825" s="79">
        <f t="shared" ref="C825:I825" si="1368">C819*2*0.8</f>
        <v>54080</v>
      </c>
      <c r="D825" s="79">
        <f t="shared" si="1368"/>
        <v>60880</v>
      </c>
      <c r="E825" s="79">
        <f t="shared" si="1368"/>
        <v>67600</v>
      </c>
      <c r="F825" s="79">
        <f t="shared" si="1368"/>
        <v>73040</v>
      </c>
      <c r="G825" s="79">
        <f t="shared" si="1368"/>
        <v>78480</v>
      </c>
      <c r="H825" s="79">
        <f t="shared" si="1368"/>
        <v>83840</v>
      </c>
      <c r="I825" s="79">
        <f t="shared" si="1368"/>
        <v>89280</v>
      </c>
      <c r="J825" s="80">
        <f t="shared" si="1358"/>
        <v>1184</v>
      </c>
      <c r="K825" s="80">
        <f t="shared" si="1359"/>
        <v>1268</v>
      </c>
      <c r="L825" s="80">
        <f t="shared" si="1360"/>
        <v>1522</v>
      </c>
      <c r="M825" s="80">
        <f t="shared" si="1361"/>
        <v>1758</v>
      </c>
      <c r="N825" s="80">
        <f t="shared" si="1362"/>
        <v>1962</v>
      </c>
      <c r="O825" s="80">
        <f t="shared" si="1363"/>
        <v>2164</v>
      </c>
      <c r="P825" s="81"/>
      <c r="Q825" s="81"/>
      <c r="R825" s="81"/>
      <c r="S825" s="81"/>
      <c r="T825" s="81"/>
      <c r="U825" s="81"/>
      <c r="V825" s="81"/>
      <c r="W825" s="81"/>
      <c r="X825" s="81"/>
      <c r="Y825" s="81"/>
      <c r="Z825" s="81"/>
      <c r="AA825" s="81"/>
      <c r="AB825" s="81"/>
      <c r="AC825" s="81"/>
      <c r="AD825" s="81"/>
      <c r="AE825" s="81"/>
      <c r="AF825" s="81"/>
    </row>
    <row r="826" spans="1:32">
      <c r="A826" s="76" t="s">
        <v>1560</v>
      </c>
      <c r="B826" s="79">
        <f>B819*2*0.9</f>
        <v>53280</v>
      </c>
      <c r="C826" s="79">
        <f t="shared" ref="C826:I826" si="1369">C819*2*0.9</f>
        <v>60840</v>
      </c>
      <c r="D826" s="79">
        <f t="shared" si="1369"/>
        <v>68490</v>
      </c>
      <c r="E826" s="79">
        <f t="shared" si="1369"/>
        <v>76050</v>
      </c>
      <c r="F826" s="79">
        <f t="shared" si="1369"/>
        <v>82170</v>
      </c>
      <c r="G826" s="79">
        <f t="shared" si="1369"/>
        <v>88290</v>
      </c>
      <c r="H826" s="79">
        <f t="shared" si="1369"/>
        <v>94320</v>
      </c>
      <c r="I826" s="79">
        <f t="shared" si="1369"/>
        <v>100440</v>
      </c>
      <c r="J826" s="80">
        <f t="shared" si="1358"/>
        <v>1332</v>
      </c>
      <c r="K826" s="80">
        <f t="shared" si="1359"/>
        <v>1426</v>
      </c>
      <c r="L826" s="80">
        <f t="shared" si="1360"/>
        <v>1712</v>
      </c>
      <c r="M826" s="80">
        <f t="shared" si="1361"/>
        <v>1977</v>
      </c>
      <c r="N826" s="80">
        <f t="shared" si="1362"/>
        <v>2207</v>
      </c>
      <c r="O826" s="80">
        <f t="shared" si="1363"/>
        <v>2434</v>
      </c>
      <c r="P826" s="81"/>
      <c r="Q826" s="81"/>
      <c r="R826" s="81"/>
      <c r="S826" s="81"/>
      <c r="T826" s="81"/>
      <c r="U826" s="81"/>
      <c r="V826" s="81"/>
      <c r="W826" s="81"/>
      <c r="X826" s="81"/>
      <c r="Y826" s="81"/>
      <c r="Z826" s="81"/>
      <c r="AA826" s="81"/>
      <c r="AB826" s="81"/>
      <c r="AC826" s="81"/>
      <c r="AD826" s="81"/>
      <c r="AE826" s="81"/>
      <c r="AF826" s="81"/>
    </row>
    <row r="827" spans="1:32">
      <c r="A827" s="76" t="s">
        <v>1561</v>
      </c>
      <c r="B827" s="79">
        <f>B819*2</f>
        <v>59200</v>
      </c>
      <c r="C827" s="79">
        <f t="shared" ref="C827:I827" si="1370">C819*2</f>
        <v>67600</v>
      </c>
      <c r="D827" s="79">
        <f t="shared" si="1370"/>
        <v>76100</v>
      </c>
      <c r="E827" s="79">
        <f t="shared" si="1370"/>
        <v>84500</v>
      </c>
      <c r="F827" s="79">
        <f t="shared" si="1370"/>
        <v>91300</v>
      </c>
      <c r="G827" s="79">
        <f t="shared" si="1370"/>
        <v>98100</v>
      </c>
      <c r="H827" s="79">
        <f t="shared" si="1370"/>
        <v>104800</v>
      </c>
      <c r="I827" s="79">
        <f t="shared" si="1370"/>
        <v>111600</v>
      </c>
      <c r="J827" s="80">
        <f>J819*2</f>
        <v>1480</v>
      </c>
      <c r="K827" s="80">
        <f t="shared" ref="K827:O827" si="1371">K819*2</f>
        <v>1584</v>
      </c>
      <c r="L827" s="80">
        <f t="shared" si="1371"/>
        <v>1902</v>
      </c>
      <c r="M827" s="80">
        <f t="shared" si="1371"/>
        <v>2196</v>
      </c>
      <c r="N827" s="80">
        <f t="shared" si="1371"/>
        <v>2452</v>
      </c>
      <c r="O827" s="80">
        <f t="shared" si="1371"/>
        <v>2704</v>
      </c>
      <c r="P827" s="81"/>
      <c r="Q827" s="81"/>
      <c r="R827" s="81"/>
      <c r="S827" s="81"/>
      <c r="T827" s="81"/>
      <c r="U827" s="81"/>
      <c r="V827" s="81"/>
      <c r="W827" s="81"/>
      <c r="X827" s="81"/>
      <c r="Y827" s="81"/>
      <c r="Z827" s="81"/>
      <c r="AA827" s="81"/>
      <c r="AB827" s="81"/>
      <c r="AC827" s="81"/>
      <c r="AD827" s="81"/>
      <c r="AE827" s="81"/>
      <c r="AF827" s="81"/>
    </row>
    <row r="828" spans="1:32">
      <c r="A828" s="76" t="s">
        <v>1562</v>
      </c>
      <c r="B828" s="79">
        <f>B819*2*1.1</f>
        <v>65120.000000000007</v>
      </c>
      <c r="C828" s="79">
        <f t="shared" ref="C828:I828" si="1372">C819*2*1.1</f>
        <v>74360</v>
      </c>
      <c r="D828" s="79">
        <f t="shared" si="1372"/>
        <v>83710</v>
      </c>
      <c r="E828" s="79">
        <f t="shared" si="1372"/>
        <v>92950.000000000015</v>
      </c>
      <c r="F828" s="79">
        <f t="shared" si="1372"/>
        <v>100430.00000000001</v>
      </c>
      <c r="G828" s="79">
        <f t="shared" si="1372"/>
        <v>107910.00000000001</v>
      </c>
      <c r="H828" s="79">
        <f t="shared" si="1372"/>
        <v>115280.00000000001</v>
      </c>
      <c r="I828" s="79">
        <f t="shared" si="1372"/>
        <v>122760.00000000001</v>
      </c>
      <c r="J828" s="80">
        <f t="shared" ref="J828:J836" si="1373">TRUNC(B828/12*0.3)</f>
        <v>1628</v>
      </c>
      <c r="K828" s="80">
        <f t="shared" ref="K828:K836" si="1374">TRUNC((B828+C828)/2/12*0.3)</f>
        <v>1743</v>
      </c>
      <c r="L828" s="80">
        <f t="shared" ref="L828:L836" si="1375">TRUNC((D828)/12*0.3)</f>
        <v>2092</v>
      </c>
      <c r="M828" s="80">
        <f t="shared" ref="M828:M836" si="1376">TRUNC(((E828+F828)/2)/12*0.3)</f>
        <v>2417</v>
      </c>
      <c r="N828" s="80">
        <f t="shared" ref="N828:N836" si="1377">TRUNC(G828/12*0.3)</f>
        <v>2697</v>
      </c>
      <c r="O828" s="80">
        <f t="shared" ref="O828:O836" si="1378">TRUNC(((H828+I828)/2)/12*0.3)</f>
        <v>2975</v>
      </c>
      <c r="P828" s="81"/>
      <c r="Q828" s="81"/>
      <c r="R828" s="81"/>
      <c r="S828" s="81"/>
      <c r="T828" s="81"/>
      <c r="U828" s="81"/>
      <c r="V828" s="81"/>
      <c r="W828" s="81"/>
      <c r="X828" s="81"/>
      <c r="Y828" s="81"/>
      <c r="Z828" s="81"/>
      <c r="AA828" s="81"/>
      <c r="AB828" s="81"/>
      <c r="AC828" s="81"/>
      <c r="AD828" s="81"/>
      <c r="AE828" s="81"/>
      <c r="AF828" s="81"/>
    </row>
    <row r="829" spans="1:32">
      <c r="A829" s="76" t="s">
        <v>1563</v>
      </c>
      <c r="B829" s="79">
        <f>B819*2*1.2</f>
        <v>71040</v>
      </c>
      <c r="C829" s="79">
        <f t="shared" ref="C829:I829" si="1379">C819*2*1.2</f>
        <v>81120</v>
      </c>
      <c r="D829" s="79">
        <f t="shared" si="1379"/>
        <v>91320</v>
      </c>
      <c r="E829" s="79">
        <f t="shared" si="1379"/>
        <v>101400</v>
      </c>
      <c r="F829" s="79">
        <f t="shared" si="1379"/>
        <v>109560</v>
      </c>
      <c r="G829" s="79">
        <f t="shared" si="1379"/>
        <v>117720</v>
      </c>
      <c r="H829" s="79">
        <f t="shared" si="1379"/>
        <v>125760</v>
      </c>
      <c r="I829" s="79">
        <f t="shared" si="1379"/>
        <v>133920</v>
      </c>
      <c r="J829" s="80">
        <f t="shared" si="1373"/>
        <v>1776</v>
      </c>
      <c r="K829" s="80">
        <f t="shared" si="1374"/>
        <v>1902</v>
      </c>
      <c r="L829" s="80">
        <f t="shared" si="1375"/>
        <v>2283</v>
      </c>
      <c r="M829" s="80">
        <f t="shared" si="1376"/>
        <v>2637</v>
      </c>
      <c r="N829" s="80">
        <f t="shared" si="1377"/>
        <v>2943</v>
      </c>
      <c r="O829" s="80">
        <f t="shared" si="1378"/>
        <v>3246</v>
      </c>
      <c r="P829" s="81"/>
      <c r="Q829" s="81"/>
      <c r="R829" s="81"/>
      <c r="S829" s="81"/>
      <c r="T829" s="81"/>
      <c r="U829" s="81"/>
      <c r="V829" s="81"/>
      <c r="W829" s="81"/>
      <c r="X829" s="81"/>
      <c r="Y829" s="81"/>
      <c r="Z829" s="81"/>
      <c r="AA829" s="81"/>
      <c r="AB829" s="81"/>
      <c r="AC829" s="81"/>
      <c r="AD829" s="81"/>
      <c r="AE829" s="81"/>
      <c r="AF829" s="81"/>
    </row>
    <row r="830" spans="1:32">
      <c r="A830" s="76" t="s">
        <v>1564</v>
      </c>
      <c r="B830" s="79">
        <f>B837*2*0.15</f>
        <v>7320</v>
      </c>
      <c r="C830" s="79">
        <f>C837*2*0.15</f>
        <v>8370</v>
      </c>
      <c r="D830" s="79">
        <f>D837*2*0.15</f>
        <v>9420</v>
      </c>
      <c r="E830" s="79">
        <f>E837*2*0.15</f>
        <v>10455</v>
      </c>
      <c r="F830" s="79">
        <f>F837*2*0.15</f>
        <v>11295</v>
      </c>
      <c r="G830" s="79">
        <f t="shared" ref="G830:I830" si="1380">G837*2*0.15</f>
        <v>12135</v>
      </c>
      <c r="H830" s="79">
        <f t="shared" si="1380"/>
        <v>12975</v>
      </c>
      <c r="I830" s="79">
        <f t="shared" si="1380"/>
        <v>13815</v>
      </c>
      <c r="J830" s="80">
        <f t="shared" si="1373"/>
        <v>183</v>
      </c>
      <c r="K830" s="80">
        <f t="shared" si="1374"/>
        <v>196</v>
      </c>
      <c r="L830" s="80">
        <f t="shared" si="1375"/>
        <v>235</v>
      </c>
      <c r="M830" s="80">
        <f t="shared" si="1376"/>
        <v>271</v>
      </c>
      <c r="N830" s="80">
        <f t="shared" si="1377"/>
        <v>303</v>
      </c>
      <c r="O830" s="80">
        <f t="shared" si="1378"/>
        <v>334</v>
      </c>
      <c r="P830" s="81"/>
      <c r="Q830" s="81"/>
      <c r="R830" s="81"/>
      <c r="S830" s="81"/>
      <c r="T830" s="81"/>
      <c r="U830" s="81"/>
      <c r="V830" s="81"/>
      <c r="W830" s="81"/>
      <c r="X830" s="81"/>
      <c r="Y830" s="81"/>
      <c r="Z830" s="81"/>
      <c r="AA830" s="81"/>
      <c r="AB830" s="81"/>
      <c r="AC830" s="81"/>
      <c r="AD830" s="81"/>
      <c r="AE830" s="81"/>
      <c r="AF830" s="81"/>
    </row>
    <row r="831" spans="1:32">
      <c r="A831" s="76" t="s">
        <v>1565</v>
      </c>
      <c r="B831" s="79">
        <f>B837*2*0.2</f>
        <v>9760</v>
      </c>
      <c r="C831" s="79">
        <f t="shared" ref="C831:I831" si="1381">C837*2*0.2</f>
        <v>11160</v>
      </c>
      <c r="D831" s="79">
        <f t="shared" si="1381"/>
        <v>12560</v>
      </c>
      <c r="E831" s="79">
        <f t="shared" si="1381"/>
        <v>13940</v>
      </c>
      <c r="F831" s="79">
        <f t="shared" si="1381"/>
        <v>15060</v>
      </c>
      <c r="G831" s="79">
        <f t="shared" si="1381"/>
        <v>16180</v>
      </c>
      <c r="H831" s="79">
        <f t="shared" si="1381"/>
        <v>17300</v>
      </c>
      <c r="I831" s="79">
        <f t="shared" si="1381"/>
        <v>18420</v>
      </c>
      <c r="J831" s="80">
        <f t="shared" si="1373"/>
        <v>244</v>
      </c>
      <c r="K831" s="80">
        <f t="shared" si="1374"/>
        <v>261</v>
      </c>
      <c r="L831" s="80">
        <f t="shared" si="1375"/>
        <v>314</v>
      </c>
      <c r="M831" s="80">
        <f t="shared" si="1376"/>
        <v>362</v>
      </c>
      <c r="N831" s="80">
        <f t="shared" si="1377"/>
        <v>404</v>
      </c>
      <c r="O831" s="80">
        <f t="shared" si="1378"/>
        <v>446</v>
      </c>
      <c r="P831" s="81"/>
      <c r="Q831" s="81"/>
      <c r="R831" s="81"/>
      <c r="S831" s="81"/>
      <c r="T831" s="81"/>
      <c r="U831" s="81"/>
      <c r="V831" s="81"/>
      <c r="W831" s="81"/>
      <c r="X831" s="81"/>
      <c r="Y831" s="81"/>
      <c r="Z831" s="81"/>
      <c r="AA831" s="81"/>
      <c r="AB831" s="81"/>
      <c r="AC831" s="81"/>
      <c r="AD831" s="81"/>
      <c r="AE831" s="81"/>
      <c r="AF831" s="81"/>
    </row>
    <row r="832" spans="1:32">
      <c r="A832" s="76" t="s">
        <v>1566</v>
      </c>
      <c r="B832" s="79">
        <f>B837*2*0.25</f>
        <v>12200</v>
      </c>
      <c r="C832" s="79">
        <f t="shared" ref="C832:I832" si="1382">C837*2*0.25</f>
        <v>13950</v>
      </c>
      <c r="D832" s="79">
        <f t="shared" si="1382"/>
        <v>15700</v>
      </c>
      <c r="E832" s="79">
        <f t="shared" si="1382"/>
        <v>17425</v>
      </c>
      <c r="F832" s="79">
        <f t="shared" si="1382"/>
        <v>18825</v>
      </c>
      <c r="G832" s="79">
        <f t="shared" si="1382"/>
        <v>20225</v>
      </c>
      <c r="H832" s="79">
        <f t="shared" si="1382"/>
        <v>21625</v>
      </c>
      <c r="I832" s="79">
        <f t="shared" si="1382"/>
        <v>23025</v>
      </c>
      <c r="J832" s="80">
        <f t="shared" si="1373"/>
        <v>305</v>
      </c>
      <c r="K832" s="80">
        <f t="shared" si="1374"/>
        <v>326</v>
      </c>
      <c r="L832" s="80">
        <f t="shared" si="1375"/>
        <v>392</v>
      </c>
      <c r="M832" s="80">
        <f t="shared" si="1376"/>
        <v>453</v>
      </c>
      <c r="N832" s="80">
        <f t="shared" si="1377"/>
        <v>505</v>
      </c>
      <c r="O832" s="80">
        <f t="shared" si="1378"/>
        <v>558</v>
      </c>
      <c r="P832" s="81"/>
      <c r="Q832" s="81"/>
      <c r="R832" s="81"/>
      <c r="S832" s="81"/>
      <c r="T832" s="81"/>
      <c r="U832" s="81"/>
      <c r="V832" s="81"/>
      <c r="W832" s="81"/>
      <c r="X832" s="81"/>
      <c r="Y832" s="81"/>
      <c r="Z832" s="81"/>
      <c r="AA832" s="81"/>
      <c r="AB832" s="81"/>
      <c r="AC832" s="81"/>
      <c r="AD832" s="81"/>
      <c r="AE832" s="81"/>
      <c r="AF832" s="81"/>
    </row>
    <row r="833" spans="1:32">
      <c r="A833" s="76" t="s">
        <v>1567</v>
      </c>
      <c r="B833" s="79">
        <f>B837*2*0.3</f>
        <v>14640</v>
      </c>
      <c r="C833" s="79">
        <f t="shared" ref="C833:I833" si="1383">C837*2*0.3</f>
        <v>16740</v>
      </c>
      <c r="D833" s="79">
        <f t="shared" si="1383"/>
        <v>18840</v>
      </c>
      <c r="E833" s="79">
        <f t="shared" si="1383"/>
        <v>20910</v>
      </c>
      <c r="F833" s="79">
        <f t="shared" si="1383"/>
        <v>22590</v>
      </c>
      <c r="G833" s="79">
        <f t="shared" si="1383"/>
        <v>24270</v>
      </c>
      <c r="H833" s="79">
        <f t="shared" si="1383"/>
        <v>25950</v>
      </c>
      <c r="I833" s="79">
        <f t="shared" si="1383"/>
        <v>27630</v>
      </c>
      <c r="J833" s="80">
        <f t="shared" si="1373"/>
        <v>366</v>
      </c>
      <c r="K833" s="80">
        <f t="shared" si="1374"/>
        <v>392</v>
      </c>
      <c r="L833" s="80">
        <f t="shared" si="1375"/>
        <v>471</v>
      </c>
      <c r="M833" s="80">
        <f t="shared" si="1376"/>
        <v>543</v>
      </c>
      <c r="N833" s="80">
        <f t="shared" si="1377"/>
        <v>606</v>
      </c>
      <c r="O833" s="80">
        <f t="shared" si="1378"/>
        <v>669</v>
      </c>
      <c r="P833" s="81"/>
      <c r="Q833" s="81"/>
      <c r="R833" s="81"/>
      <c r="S833" s="81"/>
      <c r="T833" s="81"/>
      <c r="U833" s="81"/>
      <c r="V833" s="81"/>
      <c r="W833" s="81"/>
      <c r="X833" s="81"/>
      <c r="Y833" s="81"/>
      <c r="Z833" s="81"/>
      <c r="AA833" s="81"/>
      <c r="AB833" s="81"/>
      <c r="AC833" s="81"/>
      <c r="AD833" s="81"/>
      <c r="AE833" s="81"/>
      <c r="AF833" s="81"/>
    </row>
    <row r="834" spans="1:32">
      <c r="A834" s="76" t="s">
        <v>1568</v>
      </c>
      <c r="B834" s="79">
        <f>B837*2*0.35</f>
        <v>17080</v>
      </c>
      <c r="C834" s="79">
        <f t="shared" ref="C834:I834" si="1384">C837*2*0.35</f>
        <v>19530</v>
      </c>
      <c r="D834" s="79">
        <f t="shared" si="1384"/>
        <v>21980</v>
      </c>
      <c r="E834" s="79">
        <f t="shared" si="1384"/>
        <v>24395</v>
      </c>
      <c r="F834" s="79">
        <f t="shared" si="1384"/>
        <v>26355</v>
      </c>
      <c r="G834" s="79">
        <f t="shared" si="1384"/>
        <v>28315</v>
      </c>
      <c r="H834" s="79">
        <f t="shared" si="1384"/>
        <v>30274.999999999996</v>
      </c>
      <c r="I834" s="79">
        <f t="shared" si="1384"/>
        <v>32234.999999999996</v>
      </c>
      <c r="J834" s="80">
        <f t="shared" si="1373"/>
        <v>427</v>
      </c>
      <c r="K834" s="80">
        <f t="shared" si="1374"/>
        <v>457</v>
      </c>
      <c r="L834" s="80">
        <f t="shared" si="1375"/>
        <v>549</v>
      </c>
      <c r="M834" s="80">
        <f t="shared" si="1376"/>
        <v>634</v>
      </c>
      <c r="N834" s="80">
        <f t="shared" si="1377"/>
        <v>707</v>
      </c>
      <c r="O834" s="80">
        <f t="shared" si="1378"/>
        <v>781</v>
      </c>
      <c r="P834" s="81"/>
      <c r="Q834" s="81"/>
      <c r="R834" s="81"/>
      <c r="S834" s="81"/>
      <c r="T834" s="81"/>
      <c r="U834" s="81"/>
      <c r="V834" s="81"/>
      <c r="W834" s="81"/>
      <c r="X834" s="81"/>
      <c r="Y834" s="81"/>
      <c r="Z834" s="81"/>
      <c r="AA834" s="81"/>
      <c r="AB834" s="81"/>
      <c r="AC834" s="81"/>
      <c r="AD834" s="81"/>
      <c r="AE834" s="81"/>
      <c r="AF834" s="81"/>
    </row>
    <row r="835" spans="1:32">
      <c r="A835" s="76" t="s">
        <v>1569</v>
      </c>
      <c r="B835" s="79">
        <f>B837*2*0.4</f>
        <v>19520</v>
      </c>
      <c r="C835" s="79">
        <f t="shared" ref="C835:I835" si="1385">C837*2*0.4</f>
        <v>22320</v>
      </c>
      <c r="D835" s="79">
        <f t="shared" si="1385"/>
        <v>25120</v>
      </c>
      <c r="E835" s="79">
        <f t="shared" si="1385"/>
        <v>27880</v>
      </c>
      <c r="F835" s="79">
        <f t="shared" si="1385"/>
        <v>30120</v>
      </c>
      <c r="G835" s="79">
        <f t="shared" si="1385"/>
        <v>32360</v>
      </c>
      <c r="H835" s="79">
        <f t="shared" si="1385"/>
        <v>34600</v>
      </c>
      <c r="I835" s="79">
        <f t="shared" si="1385"/>
        <v>36840</v>
      </c>
      <c r="J835" s="80">
        <f t="shared" si="1373"/>
        <v>488</v>
      </c>
      <c r="K835" s="80">
        <f t="shared" si="1374"/>
        <v>523</v>
      </c>
      <c r="L835" s="80">
        <f t="shared" si="1375"/>
        <v>628</v>
      </c>
      <c r="M835" s="80">
        <f t="shared" si="1376"/>
        <v>725</v>
      </c>
      <c r="N835" s="80">
        <f t="shared" si="1377"/>
        <v>809</v>
      </c>
      <c r="O835" s="80">
        <f t="shared" si="1378"/>
        <v>893</v>
      </c>
      <c r="P835" s="81"/>
      <c r="Q835" s="81"/>
      <c r="R835" s="81"/>
      <c r="S835" s="81"/>
      <c r="T835" s="81"/>
      <c r="U835" s="81"/>
      <c r="V835" s="81"/>
      <c r="W835" s="81"/>
      <c r="X835" s="81"/>
      <c r="Y835" s="81"/>
      <c r="Z835" s="81"/>
      <c r="AA835" s="81"/>
      <c r="AB835" s="81"/>
      <c r="AC835" s="81"/>
      <c r="AD835" s="81"/>
      <c r="AE835" s="81"/>
      <c r="AF835" s="81"/>
    </row>
    <row r="836" spans="1:32">
      <c r="A836" s="76" t="s">
        <v>1570</v>
      </c>
      <c r="B836" s="79">
        <f>B837*2*0.45</f>
        <v>21960</v>
      </c>
      <c r="C836" s="79">
        <f t="shared" ref="C836:I836" si="1386">C837*2*0.45</f>
        <v>25110</v>
      </c>
      <c r="D836" s="79">
        <f t="shared" si="1386"/>
        <v>28260</v>
      </c>
      <c r="E836" s="79">
        <f t="shared" si="1386"/>
        <v>31365</v>
      </c>
      <c r="F836" s="79">
        <f t="shared" si="1386"/>
        <v>33885</v>
      </c>
      <c r="G836" s="79">
        <f t="shared" si="1386"/>
        <v>36405</v>
      </c>
      <c r="H836" s="79">
        <f t="shared" si="1386"/>
        <v>38925</v>
      </c>
      <c r="I836" s="79">
        <f t="shared" si="1386"/>
        <v>41445</v>
      </c>
      <c r="J836" s="80">
        <f t="shared" si="1373"/>
        <v>549</v>
      </c>
      <c r="K836" s="80">
        <f t="shared" si="1374"/>
        <v>588</v>
      </c>
      <c r="L836" s="80">
        <f t="shared" si="1375"/>
        <v>706</v>
      </c>
      <c r="M836" s="80">
        <f t="shared" si="1376"/>
        <v>815</v>
      </c>
      <c r="N836" s="80">
        <f t="shared" si="1377"/>
        <v>910</v>
      </c>
      <c r="O836" s="80">
        <f t="shared" si="1378"/>
        <v>1004</v>
      </c>
      <c r="P836" s="81"/>
      <c r="Q836" s="81"/>
      <c r="R836" s="81"/>
      <c r="S836" s="81"/>
      <c r="T836" s="81"/>
      <c r="U836" s="81"/>
      <c r="V836" s="81"/>
      <c r="W836" s="81"/>
      <c r="X836" s="81"/>
      <c r="Y836" s="81"/>
      <c r="Z836" s="81"/>
      <c r="AA836" s="81"/>
      <c r="AB836" s="81"/>
      <c r="AC836" s="81"/>
      <c r="AD836" s="81"/>
      <c r="AE836" s="81"/>
      <c r="AF836" s="81"/>
    </row>
    <row r="837" spans="1:32">
      <c r="A837" s="82" t="s">
        <v>1571</v>
      </c>
      <c r="B837" s="84">
        <f>'MTSP 50% Income Limits '!B48</f>
        <v>24400</v>
      </c>
      <c r="C837" s="84">
        <f>'MTSP 50% Income Limits '!C48</f>
        <v>27900</v>
      </c>
      <c r="D837" s="84">
        <f>'MTSP 50% Income Limits '!D48</f>
        <v>31400</v>
      </c>
      <c r="E837" s="84">
        <f>'MTSP 50% Income Limits '!E48</f>
        <v>34850</v>
      </c>
      <c r="F837" s="84">
        <f>'MTSP 50% Income Limits '!F48</f>
        <v>37650</v>
      </c>
      <c r="G837" s="84">
        <f>'MTSP 50% Income Limits '!G48</f>
        <v>40450</v>
      </c>
      <c r="H837" s="84">
        <f>'MTSP 50% Income Limits '!H48</f>
        <v>43250</v>
      </c>
      <c r="I837" s="84">
        <f>'MTSP 50% Income Limits '!I48</f>
        <v>46050</v>
      </c>
      <c r="J837" s="83">
        <f>TRUNC(B837/12*0.3)</f>
        <v>610</v>
      </c>
      <c r="K837" s="83">
        <f>TRUNC((B837+C837)/2/12*0.3)</f>
        <v>653</v>
      </c>
      <c r="L837" s="83">
        <f>TRUNC((D837)/12*0.3)</f>
        <v>785</v>
      </c>
      <c r="M837" s="83">
        <f>TRUNC(((E837+F837)/2)/12*0.3)</f>
        <v>906</v>
      </c>
      <c r="N837" s="83">
        <f>TRUNC(G837/12*0.3)</f>
        <v>1011</v>
      </c>
      <c r="O837" s="83">
        <f>TRUNC(((H837+I837)/2)/12*0.3)</f>
        <v>1116</v>
      </c>
      <c r="P837" s="81"/>
      <c r="Q837" s="81"/>
      <c r="R837" s="81"/>
      <c r="S837" s="81"/>
      <c r="T837" s="81"/>
      <c r="U837" s="81"/>
      <c r="V837" s="81"/>
      <c r="W837" s="81"/>
      <c r="X837" s="81"/>
      <c r="Y837" s="81"/>
      <c r="Z837" s="81"/>
      <c r="AA837" s="81"/>
      <c r="AB837" s="81"/>
      <c r="AC837" s="81"/>
      <c r="AD837" s="81"/>
      <c r="AE837" s="81"/>
      <c r="AF837" s="81"/>
    </row>
    <row r="838" spans="1:32">
      <c r="A838" s="76" t="s">
        <v>1572</v>
      </c>
      <c r="B838" s="79">
        <f>B837*2*0.55</f>
        <v>26840.000000000004</v>
      </c>
      <c r="C838" s="79">
        <f t="shared" ref="C838:I838" si="1387">C837*2*0.55</f>
        <v>30690.000000000004</v>
      </c>
      <c r="D838" s="79">
        <f t="shared" si="1387"/>
        <v>34540</v>
      </c>
      <c r="E838" s="79">
        <f t="shared" si="1387"/>
        <v>38335</v>
      </c>
      <c r="F838" s="79">
        <f t="shared" si="1387"/>
        <v>41415</v>
      </c>
      <c r="G838" s="79">
        <f t="shared" si="1387"/>
        <v>44495</v>
      </c>
      <c r="H838" s="79">
        <f t="shared" si="1387"/>
        <v>47575.000000000007</v>
      </c>
      <c r="I838" s="79">
        <f t="shared" si="1387"/>
        <v>50655.000000000007</v>
      </c>
      <c r="J838" s="80">
        <f t="shared" ref="J838:J844" si="1388">TRUNC(B838/12*0.3)</f>
        <v>671</v>
      </c>
      <c r="K838" s="80">
        <f t="shared" ref="K838:K844" si="1389">TRUNC((B838+C838)/2/12*0.3)</f>
        <v>719</v>
      </c>
      <c r="L838" s="80">
        <f t="shared" ref="L838:L844" si="1390">TRUNC((D838)/12*0.3)</f>
        <v>863</v>
      </c>
      <c r="M838" s="80">
        <f t="shared" ref="M838:M844" si="1391">TRUNC(((E838+F838)/2)/12*0.3)</f>
        <v>996</v>
      </c>
      <c r="N838" s="80">
        <f t="shared" ref="N838:N844" si="1392">TRUNC(G838/12*0.3)</f>
        <v>1112</v>
      </c>
      <c r="O838" s="80">
        <f t="shared" ref="O838:O844" si="1393">TRUNC(((H838+I838)/2)/12*0.3)</f>
        <v>1227</v>
      </c>
      <c r="P838" s="81"/>
      <c r="Q838" s="81"/>
      <c r="R838" s="81"/>
      <c r="S838" s="81"/>
      <c r="T838" s="81"/>
      <c r="U838" s="81"/>
      <c r="V838" s="81"/>
      <c r="W838" s="81"/>
      <c r="X838" s="81"/>
      <c r="Y838" s="81"/>
      <c r="Z838" s="81"/>
      <c r="AA838" s="81"/>
      <c r="AB838" s="81"/>
      <c r="AC838" s="81"/>
      <c r="AD838" s="81"/>
      <c r="AE838" s="81"/>
      <c r="AF838" s="81"/>
    </row>
    <row r="839" spans="1:32">
      <c r="A839" s="76" t="s">
        <v>1573</v>
      </c>
      <c r="B839" s="79">
        <f>B837*2*0.6</f>
        <v>29280</v>
      </c>
      <c r="C839" s="79">
        <f t="shared" ref="C839:I839" si="1394">C837*2*0.6</f>
        <v>33480</v>
      </c>
      <c r="D839" s="79">
        <f t="shared" si="1394"/>
        <v>37680</v>
      </c>
      <c r="E839" s="79">
        <f t="shared" si="1394"/>
        <v>41820</v>
      </c>
      <c r="F839" s="79">
        <f t="shared" si="1394"/>
        <v>45180</v>
      </c>
      <c r="G839" s="79">
        <f t="shared" si="1394"/>
        <v>48540</v>
      </c>
      <c r="H839" s="79">
        <f t="shared" si="1394"/>
        <v>51900</v>
      </c>
      <c r="I839" s="79">
        <f t="shared" si="1394"/>
        <v>55260</v>
      </c>
      <c r="J839" s="80">
        <f t="shared" si="1388"/>
        <v>732</v>
      </c>
      <c r="K839" s="80">
        <f t="shared" si="1389"/>
        <v>784</v>
      </c>
      <c r="L839" s="80">
        <f t="shared" si="1390"/>
        <v>942</v>
      </c>
      <c r="M839" s="80">
        <f t="shared" si="1391"/>
        <v>1087</v>
      </c>
      <c r="N839" s="80">
        <f t="shared" si="1392"/>
        <v>1213</v>
      </c>
      <c r="O839" s="80">
        <f t="shared" si="1393"/>
        <v>1339</v>
      </c>
      <c r="P839" s="81"/>
      <c r="Q839" s="81"/>
      <c r="R839" s="81"/>
      <c r="S839" s="81"/>
      <c r="T839" s="81"/>
      <c r="U839" s="81"/>
      <c r="V839" s="81"/>
      <c r="W839" s="81"/>
      <c r="X839" s="81"/>
      <c r="Y839" s="81"/>
      <c r="Z839" s="81"/>
      <c r="AA839" s="81"/>
      <c r="AB839" s="81"/>
      <c r="AC839" s="81"/>
      <c r="AD839" s="81"/>
      <c r="AE839" s="81"/>
      <c r="AF839" s="81"/>
    </row>
    <row r="840" spans="1:32">
      <c r="A840" s="76" t="s">
        <v>1574</v>
      </c>
      <c r="B840" s="79">
        <f>B837*2*0.65</f>
        <v>31720</v>
      </c>
      <c r="C840" s="79">
        <f t="shared" ref="C840:I840" si="1395">C837*2*0.65</f>
        <v>36270</v>
      </c>
      <c r="D840" s="79">
        <f t="shared" si="1395"/>
        <v>40820</v>
      </c>
      <c r="E840" s="79">
        <f t="shared" si="1395"/>
        <v>45305</v>
      </c>
      <c r="F840" s="79">
        <f t="shared" si="1395"/>
        <v>48945</v>
      </c>
      <c r="G840" s="79">
        <f t="shared" si="1395"/>
        <v>52585</v>
      </c>
      <c r="H840" s="79">
        <f t="shared" si="1395"/>
        <v>56225</v>
      </c>
      <c r="I840" s="79">
        <f t="shared" si="1395"/>
        <v>59865</v>
      </c>
      <c r="J840" s="80">
        <f t="shared" si="1388"/>
        <v>793</v>
      </c>
      <c r="K840" s="80">
        <f t="shared" si="1389"/>
        <v>849</v>
      </c>
      <c r="L840" s="80">
        <f t="shared" si="1390"/>
        <v>1020</v>
      </c>
      <c r="M840" s="80">
        <f t="shared" si="1391"/>
        <v>1178</v>
      </c>
      <c r="N840" s="80">
        <f t="shared" si="1392"/>
        <v>1314</v>
      </c>
      <c r="O840" s="80">
        <f t="shared" si="1393"/>
        <v>1451</v>
      </c>
      <c r="P840" s="81"/>
      <c r="Q840" s="81"/>
      <c r="R840" s="81"/>
      <c r="S840" s="81"/>
      <c r="T840" s="81"/>
      <c r="U840" s="81"/>
      <c r="V840" s="81"/>
      <c r="W840" s="81"/>
      <c r="X840" s="81"/>
      <c r="Y840" s="81"/>
      <c r="Z840" s="81"/>
      <c r="AA840" s="81"/>
      <c r="AB840" s="81"/>
      <c r="AC840" s="81"/>
      <c r="AD840" s="81"/>
      <c r="AE840" s="81"/>
      <c r="AF840" s="81"/>
    </row>
    <row r="841" spans="1:32">
      <c r="A841" s="76" t="s">
        <v>1575</v>
      </c>
      <c r="B841" s="79">
        <f>B837*2*0.7</f>
        <v>34160</v>
      </c>
      <c r="C841" s="79">
        <f t="shared" ref="C841:I841" si="1396">C837*2*0.7</f>
        <v>39060</v>
      </c>
      <c r="D841" s="79">
        <f t="shared" si="1396"/>
        <v>43960</v>
      </c>
      <c r="E841" s="79">
        <f t="shared" si="1396"/>
        <v>48790</v>
      </c>
      <c r="F841" s="79">
        <f t="shared" si="1396"/>
        <v>52710</v>
      </c>
      <c r="G841" s="79">
        <f t="shared" si="1396"/>
        <v>56630</v>
      </c>
      <c r="H841" s="79">
        <f t="shared" si="1396"/>
        <v>60549.999999999993</v>
      </c>
      <c r="I841" s="79">
        <f t="shared" si="1396"/>
        <v>64469.999999999993</v>
      </c>
      <c r="J841" s="80">
        <f t="shared" si="1388"/>
        <v>854</v>
      </c>
      <c r="K841" s="80">
        <f t="shared" si="1389"/>
        <v>915</v>
      </c>
      <c r="L841" s="80">
        <f t="shared" si="1390"/>
        <v>1099</v>
      </c>
      <c r="M841" s="80">
        <f t="shared" si="1391"/>
        <v>1268</v>
      </c>
      <c r="N841" s="80">
        <f t="shared" si="1392"/>
        <v>1415</v>
      </c>
      <c r="O841" s="80">
        <f t="shared" si="1393"/>
        <v>1562</v>
      </c>
      <c r="P841" s="81"/>
      <c r="Q841" s="81"/>
      <c r="R841" s="81"/>
      <c r="S841" s="81"/>
      <c r="T841" s="81"/>
      <c r="U841" s="81"/>
      <c r="V841" s="81"/>
      <c r="W841" s="81"/>
      <c r="X841" s="81"/>
      <c r="Y841" s="81"/>
      <c r="Z841" s="81"/>
      <c r="AA841" s="81"/>
      <c r="AB841" s="81"/>
      <c r="AC841" s="81"/>
      <c r="AD841" s="81"/>
      <c r="AE841" s="81"/>
      <c r="AF841" s="81"/>
    </row>
    <row r="842" spans="1:32">
      <c r="A842" s="76" t="s">
        <v>1576</v>
      </c>
      <c r="B842" s="79">
        <f>B837*2*0.75</f>
        <v>36600</v>
      </c>
      <c r="C842" s="79">
        <f t="shared" ref="C842:I842" si="1397">C837*2*0.75</f>
        <v>41850</v>
      </c>
      <c r="D842" s="79">
        <f t="shared" si="1397"/>
        <v>47100</v>
      </c>
      <c r="E842" s="79">
        <f t="shared" si="1397"/>
        <v>52275</v>
      </c>
      <c r="F842" s="79">
        <f t="shared" si="1397"/>
        <v>56475</v>
      </c>
      <c r="G842" s="79">
        <f t="shared" si="1397"/>
        <v>60675</v>
      </c>
      <c r="H842" s="79">
        <f t="shared" si="1397"/>
        <v>64875</v>
      </c>
      <c r="I842" s="79">
        <f t="shared" si="1397"/>
        <v>69075</v>
      </c>
      <c r="J842" s="80">
        <f t="shared" si="1388"/>
        <v>915</v>
      </c>
      <c r="K842" s="80">
        <f t="shared" si="1389"/>
        <v>980</v>
      </c>
      <c r="L842" s="80">
        <f t="shared" si="1390"/>
        <v>1177</v>
      </c>
      <c r="M842" s="80">
        <f t="shared" si="1391"/>
        <v>1359</v>
      </c>
      <c r="N842" s="80">
        <f t="shared" si="1392"/>
        <v>1516</v>
      </c>
      <c r="O842" s="80">
        <f t="shared" si="1393"/>
        <v>1674</v>
      </c>
      <c r="P842" s="81"/>
      <c r="Q842" s="81"/>
      <c r="R842" s="81"/>
      <c r="S842" s="81"/>
      <c r="T842" s="81"/>
      <c r="U842" s="81"/>
      <c r="V842" s="81"/>
      <c r="W842" s="81"/>
      <c r="X842" s="81"/>
      <c r="Y842" s="81"/>
      <c r="Z842" s="81"/>
      <c r="AA842" s="81"/>
      <c r="AB842" s="81"/>
      <c r="AC842" s="81"/>
      <c r="AD842" s="81"/>
      <c r="AE842" s="81"/>
      <c r="AF842" s="81"/>
    </row>
    <row r="843" spans="1:32">
      <c r="A843" s="76" t="s">
        <v>1577</v>
      </c>
      <c r="B843" s="79">
        <f>B837*2*0.8</f>
        <v>39040</v>
      </c>
      <c r="C843" s="79">
        <f t="shared" ref="C843:I843" si="1398">C837*2*0.8</f>
        <v>44640</v>
      </c>
      <c r="D843" s="79">
        <f t="shared" si="1398"/>
        <v>50240</v>
      </c>
      <c r="E843" s="79">
        <f t="shared" si="1398"/>
        <v>55760</v>
      </c>
      <c r="F843" s="79">
        <f t="shared" si="1398"/>
        <v>60240</v>
      </c>
      <c r="G843" s="79">
        <f t="shared" si="1398"/>
        <v>64720</v>
      </c>
      <c r="H843" s="79">
        <f t="shared" si="1398"/>
        <v>69200</v>
      </c>
      <c r="I843" s="79">
        <f t="shared" si="1398"/>
        <v>73680</v>
      </c>
      <c r="J843" s="80">
        <f t="shared" si="1388"/>
        <v>976</v>
      </c>
      <c r="K843" s="80">
        <f t="shared" si="1389"/>
        <v>1046</v>
      </c>
      <c r="L843" s="80">
        <f t="shared" si="1390"/>
        <v>1256</v>
      </c>
      <c r="M843" s="80">
        <f t="shared" si="1391"/>
        <v>1450</v>
      </c>
      <c r="N843" s="80">
        <f t="shared" si="1392"/>
        <v>1618</v>
      </c>
      <c r="O843" s="80">
        <f t="shared" si="1393"/>
        <v>1786</v>
      </c>
      <c r="P843" s="81"/>
      <c r="Q843" s="81"/>
      <c r="R843" s="81"/>
      <c r="S843" s="81"/>
      <c r="T843" s="81"/>
      <c r="U843" s="81"/>
      <c r="V843" s="81"/>
      <c r="W843" s="81"/>
      <c r="X843" s="81"/>
      <c r="Y843" s="81"/>
      <c r="Z843" s="81"/>
      <c r="AA843" s="81"/>
      <c r="AB843" s="81"/>
      <c r="AC843" s="81"/>
      <c r="AD843" s="81"/>
      <c r="AE843" s="81"/>
      <c r="AF843" s="81"/>
    </row>
    <row r="844" spans="1:32">
      <c r="A844" s="76" t="s">
        <v>1578</v>
      </c>
      <c r="B844" s="79">
        <f>B837*2*0.9</f>
        <v>43920</v>
      </c>
      <c r="C844" s="79">
        <f t="shared" ref="C844:I844" si="1399">C837*2*0.9</f>
        <v>50220</v>
      </c>
      <c r="D844" s="79">
        <f t="shared" si="1399"/>
        <v>56520</v>
      </c>
      <c r="E844" s="79">
        <f t="shared" si="1399"/>
        <v>62730</v>
      </c>
      <c r="F844" s="79">
        <f t="shared" si="1399"/>
        <v>67770</v>
      </c>
      <c r="G844" s="79">
        <f t="shared" si="1399"/>
        <v>72810</v>
      </c>
      <c r="H844" s="79">
        <f t="shared" si="1399"/>
        <v>77850</v>
      </c>
      <c r="I844" s="79">
        <f t="shared" si="1399"/>
        <v>82890</v>
      </c>
      <c r="J844" s="80">
        <f t="shared" si="1388"/>
        <v>1098</v>
      </c>
      <c r="K844" s="80">
        <f t="shared" si="1389"/>
        <v>1176</v>
      </c>
      <c r="L844" s="80">
        <f t="shared" si="1390"/>
        <v>1413</v>
      </c>
      <c r="M844" s="80">
        <f t="shared" si="1391"/>
        <v>1631</v>
      </c>
      <c r="N844" s="80">
        <f t="shared" si="1392"/>
        <v>1820</v>
      </c>
      <c r="O844" s="80">
        <f t="shared" si="1393"/>
        <v>2009</v>
      </c>
      <c r="P844" s="81"/>
      <c r="Q844" s="81"/>
      <c r="R844" s="81"/>
      <c r="S844" s="81"/>
      <c r="T844" s="81"/>
      <c r="U844" s="81"/>
      <c r="V844" s="81"/>
      <c r="W844" s="81"/>
      <c r="X844" s="81"/>
      <c r="Y844" s="81"/>
      <c r="Z844" s="81"/>
      <c r="AA844" s="81"/>
      <c r="AB844" s="81"/>
      <c r="AC844" s="81"/>
      <c r="AD844" s="81"/>
      <c r="AE844" s="81"/>
      <c r="AF844" s="81"/>
    </row>
    <row r="845" spans="1:32">
      <c r="A845" s="76" t="s">
        <v>1579</v>
      </c>
      <c r="B845" s="79">
        <f>B837*2</f>
        <v>48800</v>
      </c>
      <c r="C845" s="79">
        <f t="shared" ref="C845:I845" si="1400">C837*2</f>
        <v>55800</v>
      </c>
      <c r="D845" s="79">
        <f t="shared" si="1400"/>
        <v>62800</v>
      </c>
      <c r="E845" s="79">
        <f t="shared" si="1400"/>
        <v>69700</v>
      </c>
      <c r="F845" s="79">
        <f t="shared" si="1400"/>
        <v>75300</v>
      </c>
      <c r="G845" s="79">
        <f t="shared" si="1400"/>
        <v>80900</v>
      </c>
      <c r="H845" s="79">
        <f t="shared" si="1400"/>
        <v>86500</v>
      </c>
      <c r="I845" s="79">
        <f t="shared" si="1400"/>
        <v>92100</v>
      </c>
      <c r="J845" s="80">
        <f>J837*2</f>
        <v>1220</v>
      </c>
      <c r="K845" s="80">
        <f t="shared" ref="K845:O845" si="1401">K837*2</f>
        <v>1306</v>
      </c>
      <c r="L845" s="80">
        <f t="shared" si="1401"/>
        <v>1570</v>
      </c>
      <c r="M845" s="80">
        <f t="shared" si="1401"/>
        <v>1812</v>
      </c>
      <c r="N845" s="80">
        <f t="shared" si="1401"/>
        <v>2022</v>
      </c>
      <c r="O845" s="80">
        <f t="shared" si="1401"/>
        <v>2232</v>
      </c>
      <c r="P845" s="81"/>
      <c r="Q845" s="81"/>
      <c r="R845" s="81"/>
      <c r="S845" s="81"/>
      <c r="T845" s="81"/>
      <c r="U845" s="81"/>
      <c r="V845" s="81"/>
      <c r="W845" s="81"/>
      <c r="X845" s="81"/>
      <c r="Y845" s="81"/>
      <c r="Z845" s="81"/>
      <c r="AA845" s="81"/>
      <c r="AB845" s="81"/>
      <c r="AC845" s="81"/>
      <c r="AD845" s="81"/>
      <c r="AE845" s="81"/>
      <c r="AF845" s="81"/>
    </row>
    <row r="846" spans="1:32">
      <c r="A846" s="76" t="s">
        <v>1580</v>
      </c>
      <c r="B846" s="79">
        <f>B837*2*1.1</f>
        <v>53680.000000000007</v>
      </c>
      <c r="C846" s="79">
        <f t="shared" ref="C846:I846" si="1402">C837*2*1.1</f>
        <v>61380.000000000007</v>
      </c>
      <c r="D846" s="79">
        <f t="shared" si="1402"/>
        <v>69080</v>
      </c>
      <c r="E846" s="79">
        <f t="shared" si="1402"/>
        <v>76670</v>
      </c>
      <c r="F846" s="79">
        <f t="shared" si="1402"/>
        <v>82830</v>
      </c>
      <c r="G846" s="79">
        <f t="shared" si="1402"/>
        <v>88990</v>
      </c>
      <c r="H846" s="79">
        <f t="shared" si="1402"/>
        <v>95150.000000000015</v>
      </c>
      <c r="I846" s="79">
        <f t="shared" si="1402"/>
        <v>101310.00000000001</v>
      </c>
      <c r="J846" s="80">
        <f t="shared" ref="J846:J854" si="1403">TRUNC(B846/12*0.3)</f>
        <v>1342</v>
      </c>
      <c r="K846" s="80">
        <f t="shared" ref="K846:K854" si="1404">TRUNC((B846+C846)/2/12*0.3)</f>
        <v>1438</v>
      </c>
      <c r="L846" s="80">
        <f t="shared" ref="L846:L854" si="1405">TRUNC((D846)/12*0.3)</f>
        <v>1727</v>
      </c>
      <c r="M846" s="80">
        <f t="shared" ref="M846:M854" si="1406">TRUNC(((E846+F846)/2)/12*0.3)</f>
        <v>1993</v>
      </c>
      <c r="N846" s="80">
        <f t="shared" ref="N846:N854" si="1407">TRUNC(G846/12*0.3)</f>
        <v>2224</v>
      </c>
      <c r="O846" s="80">
        <f t="shared" ref="O846:O854" si="1408">TRUNC(((H846+I846)/2)/12*0.3)</f>
        <v>2455</v>
      </c>
      <c r="P846" s="81"/>
      <c r="Q846" s="81"/>
      <c r="R846" s="81"/>
      <c r="S846" s="81"/>
      <c r="T846" s="81"/>
      <c r="U846" s="81"/>
      <c r="V846" s="81"/>
      <c r="W846" s="81"/>
      <c r="X846" s="81"/>
      <c r="Y846" s="81"/>
      <c r="Z846" s="81"/>
      <c r="AA846" s="81"/>
      <c r="AB846" s="81"/>
      <c r="AC846" s="81"/>
      <c r="AD846" s="81"/>
      <c r="AE846" s="81"/>
      <c r="AF846" s="81"/>
    </row>
    <row r="847" spans="1:32">
      <c r="A847" s="76" t="s">
        <v>1581</v>
      </c>
      <c r="B847" s="79">
        <f>B837*2*1.2</f>
        <v>58560</v>
      </c>
      <c r="C847" s="79">
        <f t="shared" ref="C847:I847" si="1409">C837*2*1.2</f>
        <v>66960</v>
      </c>
      <c r="D847" s="79">
        <f t="shared" si="1409"/>
        <v>75360</v>
      </c>
      <c r="E847" s="79">
        <f t="shared" si="1409"/>
        <v>83640</v>
      </c>
      <c r="F847" s="79">
        <f t="shared" si="1409"/>
        <v>90360</v>
      </c>
      <c r="G847" s="79">
        <f t="shared" si="1409"/>
        <v>97080</v>
      </c>
      <c r="H847" s="79">
        <f t="shared" si="1409"/>
        <v>103800</v>
      </c>
      <c r="I847" s="79">
        <f t="shared" si="1409"/>
        <v>110520</v>
      </c>
      <c r="J847" s="80">
        <f t="shared" si="1403"/>
        <v>1464</v>
      </c>
      <c r="K847" s="80">
        <f t="shared" si="1404"/>
        <v>1569</v>
      </c>
      <c r="L847" s="80">
        <f t="shared" si="1405"/>
        <v>1884</v>
      </c>
      <c r="M847" s="80">
        <f t="shared" si="1406"/>
        <v>2175</v>
      </c>
      <c r="N847" s="80">
        <f t="shared" si="1407"/>
        <v>2427</v>
      </c>
      <c r="O847" s="80">
        <f t="shared" si="1408"/>
        <v>2679</v>
      </c>
      <c r="P847" s="81"/>
      <c r="Q847" s="81"/>
      <c r="R847" s="81"/>
      <c r="S847" s="81"/>
      <c r="T847" s="81"/>
      <c r="U847" s="81"/>
      <c r="V847" s="81"/>
      <c r="W847" s="81"/>
      <c r="X847" s="81"/>
      <c r="Y847" s="81"/>
      <c r="Z847" s="81"/>
      <c r="AA847" s="81"/>
      <c r="AB847" s="81"/>
      <c r="AC847" s="81"/>
      <c r="AD847" s="81"/>
      <c r="AE847" s="81"/>
      <c r="AF847" s="81"/>
    </row>
    <row r="848" spans="1:32">
      <c r="A848" s="76" t="s">
        <v>1582</v>
      </c>
      <c r="B848" s="79">
        <f>B855*2*0.15</f>
        <v>10200</v>
      </c>
      <c r="C848" s="79">
        <f>C855*2*0.15</f>
        <v>11655</v>
      </c>
      <c r="D848" s="79">
        <f>D855*2*0.15</f>
        <v>13110</v>
      </c>
      <c r="E848" s="79">
        <f>E855*2*0.15</f>
        <v>14565</v>
      </c>
      <c r="F848" s="79">
        <f>F855*2*0.15</f>
        <v>15735</v>
      </c>
      <c r="G848" s="79">
        <f t="shared" ref="G848:I848" si="1410">G855*2*0.15</f>
        <v>16905</v>
      </c>
      <c r="H848" s="79">
        <f t="shared" si="1410"/>
        <v>18075</v>
      </c>
      <c r="I848" s="79">
        <f t="shared" si="1410"/>
        <v>19230</v>
      </c>
      <c r="J848" s="80">
        <f t="shared" si="1403"/>
        <v>255</v>
      </c>
      <c r="K848" s="80">
        <f t="shared" si="1404"/>
        <v>273</v>
      </c>
      <c r="L848" s="80">
        <f t="shared" si="1405"/>
        <v>327</v>
      </c>
      <c r="M848" s="80">
        <f t="shared" si="1406"/>
        <v>378</v>
      </c>
      <c r="N848" s="80">
        <f t="shared" si="1407"/>
        <v>422</v>
      </c>
      <c r="O848" s="80">
        <f t="shared" si="1408"/>
        <v>466</v>
      </c>
      <c r="P848" s="81"/>
      <c r="Q848" s="81"/>
      <c r="R848" s="81"/>
      <c r="S848" s="81"/>
      <c r="T848" s="81"/>
      <c r="U848" s="81"/>
      <c r="V848" s="81"/>
      <c r="W848" s="81"/>
      <c r="X848" s="81"/>
      <c r="Y848" s="81"/>
      <c r="Z848" s="81"/>
      <c r="AA848" s="81"/>
      <c r="AB848" s="81"/>
      <c r="AC848" s="81"/>
      <c r="AD848" s="81"/>
      <c r="AE848" s="81"/>
      <c r="AF848" s="81"/>
    </row>
    <row r="849" spans="1:32">
      <c r="A849" s="76" t="s">
        <v>1583</v>
      </c>
      <c r="B849" s="79">
        <f>B855*2*0.2</f>
        <v>13600</v>
      </c>
      <c r="C849" s="79">
        <f t="shared" ref="C849:I849" si="1411">C855*2*0.2</f>
        <v>15540</v>
      </c>
      <c r="D849" s="79">
        <f t="shared" si="1411"/>
        <v>17480</v>
      </c>
      <c r="E849" s="79">
        <f t="shared" si="1411"/>
        <v>19420</v>
      </c>
      <c r="F849" s="79">
        <f t="shared" si="1411"/>
        <v>20980</v>
      </c>
      <c r="G849" s="79">
        <f t="shared" si="1411"/>
        <v>22540</v>
      </c>
      <c r="H849" s="79">
        <f t="shared" si="1411"/>
        <v>24100</v>
      </c>
      <c r="I849" s="79">
        <f t="shared" si="1411"/>
        <v>25640</v>
      </c>
      <c r="J849" s="80">
        <f t="shared" si="1403"/>
        <v>340</v>
      </c>
      <c r="K849" s="80">
        <f t="shared" si="1404"/>
        <v>364</v>
      </c>
      <c r="L849" s="80">
        <f t="shared" si="1405"/>
        <v>437</v>
      </c>
      <c r="M849" s="80">
        <f t="shared" si="1406"/>
        <v>505</v>
      </c>
      <c r="N849" s="80">
        <f t="shared" si="1407"/>
        <v>563</v>
      </c>
      <c r="O849" s="80">
        <f t="shared" si="1408"/>
        <v>621</v>
      </c>
      <c r="P849" s="81"/>
      <c r="Q849" s="81"/>
      <c r="R849" s="81"/>
      <c r="S849" s="81"/>
      <c r="T849" s="81"/>
      <c r="U849" s="81"/>
      <c r="V849" s="81"/>
      <c r="W849" s="81"/>
      <c r="X849" s="81"/>
      <c r="Y849" s="81"/>
      <c r="Z849" s="81"/>
      <c r="AA849" s="81"/>
      <c r="AB849" s="81"/>
      <c r="AC849" s="81"/>
      <c r="AD849" s="81"/>
      <c r="AE849" s="81"/>
      <c r="AF849" s="81"/>
    </row>
    <row r="850" spans="1:32">
      <c r="A850" s="76" t="s">
        <v>1584</v>
      </c>
      <c r="B850" s="79">
        <f>B855*2*0.25</f>
        <v>17000</v>
      </c>
      <c r="C850" s="79">
        <f t="shared" ref="C850:I850" si="1412">C855*2*0.25</f>
        <v>19425</v>
      </c>
      <c r="D850" s="79">
        <f t="shared" si="1412"/>
        <v>21850</v>
      </c>
      <c r="E850" s="79">
        <f t="shared" si="1412"/>
        <v>24275</v>
      </c>
      <c r="F850" s="79">
        <f t="shared" si="1412"/>
        <v>26225</v>
      </c>
      <c r="G850" s="79">
        <f t="shared" si="1412"/>
        <v>28175</v>
      </c>
      <c r="H850" s="79">
        <f t="shared" si="1412"/>
        <v>30125</v>
      </c>
      <c r="I850" s="79">
        <f t="shared" si="1412"/>
        <v>32050</v>
      </c>
      <c r="J850" s="80">
        <f t="shared" si="1403"/>
        <v>425</v>
      </c>
      <c r="K850" s="80">
        <f t="shared" si="1404"/>
        <v>455</v>
      </c>
      <c r="L850" s="80">
        <f t="shared" si="1405"/>
        <v>546</v>
      </c>
      <c r="M850" s="80">
        <f t="shared" si="1406"/>
        <v>631</v>
      </c>
      <c r="N850" s="80">
        <f t="shared" si="1407"/>
        <v>704</v>
      </c>
      <c r="O850" s="80">
        <f t="shared" si="1408"/>
        <v>777</v>
      </c>
      <c r="P850" s="81"/>
      <c r="Q850" s="81"/>
      <c r="R850" s="81"/>
      <c r="S850" s="81"/>
      <c r="T850" s="81"/>
      <c r="U850" s="81"/>
      <c r="V850" s="81"/>
      <c r="W850" s="81"/>
      <c r="X850" s="81"/>
      <c r="Y850" s="81"/>
      <c r="Z850" s="81"/>
      <c r="AA850" s="81"/>
      <c r="AB850" s="81"/>
      <c r="AC850" s="81"/>
      <c r="AD850" s="81"/>
      <c r="AE850" s="81"/>
      <c r="AF850" s="81"/>
    </row>
    <row r="851" spans="1:32">
      <c r="A851" s="76" t="s">
        <v>1585</v>
      </c>
      <c r="B851" s="79">
        <f>B855*2*0.3</f>
        <v>20400</v>
      </c>
      <c r="C851" s="79">
        <f t="shared" ref="C851:I851" si="1413">C855*2*0.3</f>
        <v>23310</v>
      </c>
      <c r="D851" s="79">
        <f t="shared" si="1413"/>
        <v>26220</v>
      </c>
      <c r="E851" s="79">
        <f t="shared" si="1413"/>
        <v>29130</v>
      </c>
      <c r="F851" s="79">
        <f t="shared" si="1413"/>
        <v>31470</v>
      </c>
      <c r="G851" s="79">
        <f t="shared" si="1413"/>
        <v>33810</v>
      </c>
      <c r="H851" s="79">
        <f t="shared" si="1413"/>
        <v>36150</v>
      </c>
      <c r="I851" s="79">
        <f t="shared" si="1413"/>
        <v>38460</v>
      </c>
      <c r="J851" s="80">
        <f t="shared" si="1403"/>
        <v>510</v>
      </c>
      <c r="K851" s="80">
        <f t="shared" si="1404"/>
        <v>546</v>
      </c>
      <c r="L851" s="80">
        <f t="shared" si="1405"/>
        <v>655</v>
      </c>
      <c r="M851" s="80">
        <f t="shared" si="1406"/>
        <v>757</v>
      </c>
      <c r="N851" s="80">
        <f t="shared" si="1407"/>
        <v>845</v>
      </c>
      <c r="O851" s="80">
        <f t="shared" si="1408"/>
        <v>932</v>
      </c>
      <c r="P851" s="81"/>
      <c r="Q851" s="81"/>
      <c r="R851" s="81"/>
      <c r="S851" s="81"/>
      <c r="T851" s="81"/>
      <c r="U851" s="81"/>
      <c r="V851" s="81"/>
      <c r="W851" s="81"/>
      <c r="X851" s="81"/>
      <c r="Y851" s="81"/>
      <c r="Z851" s="81"/>
      <c r="AA851" s="81"/>
      <c r="AB851" s="81"/>
      <c r="AC851" s="81"/>
      <c r="AD851" s="81"/>
      <c r="AE851" s="81"/>
      <c r="AF851" s="81"/>
    </row>
    <row r="852" spans="1:32">
      <c r="A852" s="76" t="s">
        <v>1586</v>
      </c>
      <c r="B852" s="79">
        <f>B855*2*0.35</f>
        <v>23800</v>
      </c>
      <c r="C852" s="79">
        <f t="shared" ref="C852:I852" si="1414">C855*2*0.35</f>
        <v>27195</v>
      </c>
      <c r="D852" s="79">
        <f t="shared" si="1414"/>
        <v>30589.999999999996</v>
      </c>
      <c r="E852" s="79">
        <f t="shared" si="1414"/>
        <v>33985</v>
      </c>
      <c r="F852" s="79">
        <f t="shared" si="1414"/>
        <v>36715</v>
      </c>
      <c r="G852" s="79">
        <f t="shared" si="1414"/>
        <v>39445</v>
      </c>
      <c r="H852" s="79">
        <f t="shared" si="1414"/>
        <v>42175</v>
      </c>
      <c r="I852" s="79">
        <f t="shared" si="1414"/>
        <v>44870</v>
      </c>
      <c r="J852" s="80">
        <f t="shared" si="1403"/>
        <v>595</v>
      </c>
      <c r="K852" s="80">
        <f t="shared" si="1404"/>
        <v>637</v>
      </c>
      <c r="L852" s="80">
        <f t="shared" si="1405"/>
        <v>764</v>
      </c>
      <c r="M852" s="80">
        <f t="shared" si="1406"/>
        <v>883</v>
      </c>
      <c r="N852" s="80">
        <f t="shared" si="1407"/>
        <v>986</v>
      </c>
      <c r="O852" s="80">
        <f t="shared" si="1408"/>
        <v>1088</v>
      </c>
      <c r="P852" s="81"/>
      <c r="Q852" s="81"/>
      <c r="R852" s="81"/>
      <c r="S852" s="81"/>
      <c r="T852" s="81"/>
      <c r="U852" s="81"/>
      <c r="V852" s="81"/>
      <c r="W852" s="81"/>
      <c r="X852" s="81"/>
      <c r="Y852" s="81"/>
      <c r="Z852" s="81"/>
      <c r="AA852" s="81"/>
      <c r="AB852" s="81"/>
      <c r="AC852" s="81"/>
      <c r="AD852" s="81"/>
      <c r="AE852" s="81"/>
      <c r="AF852" s="81"/>
    </row>
    <row r="853" spans="1:32">
      <c r="A853" s="76" t="s">
        <v>1587</v>
      </c>
      <c r="B853" s="79">
        <f>B855*2*0.4</f>
        <v>27200</v>
      </c>
      <c r="C853" s="79">
        <f t="shared" ref="C853:I853" si="1415">C855*2*0.4</f>
        <v>31080</v>
      </c>
      <c r="D853" s="79">
        <f t="shared" si="1415"/>
        <v>34960</v>
      </c>
      <c r="E853" s="79">
        <f t="shared" si="1415"/>
        <v>38840</v>
      </c>
      <c r="F853" s="79">
        <f t="shared" si="1415"/>
        <v>41960</v>
      </c>
      <c r="G853" s="79">
        <f t="shared" si="1415"/>
        <v>45080</v>
      </c>
      <c r="H853" s="79">
        <f t="shared" si="1415"/>
        <v>48200</v>
      </c>
      <c r="I853" s="79">
        <f t="shared" si="1415"/>
        <v>51280</v>
      </c>
      <c r="J853" s="80">
        <f t="shared" si="1403"/>
        <v>680</v>
      </c>
      <c r="K853" s="80">
        <f t="shared" si="1404"/>
        <v>728</v>
      </c>
      <c r="L853" s="80">
        <f t="shared" si="1405"/>
        <v>874</v>
      </c>
      <c r="M853" s="80">
        <f t="shared" si="1406"/>
        <v>1010</v>
      </c>
      <c r="N853" s="80">
        <f t="shared" si="1407"/>
        <v>1127</v>
      </c>
      <c r="O853" s="80">
        <f t="shared" si="1408"/>
        <v>1243</v>
      </c>
      <c r="P853" s="81"/>
      <c r="Q853" s="81"/>
      <c r="R853" s="81"/>
      <c r="S853" s="81"/>
      <c r="T853" s="81"/>
      <c r="U853" s="81"/>
      <c r="V853" s="81"/>
      <c r="W853" s="81"/>
      <c r="X853" s="81"/>
      <c r="Y853" s="81"/>
      <c r="Z853" s="81"/>
      <c r="AA853" s="81"/>
      <c r="AB853" s="81"/>
      <c r="AC853" s="81"/>
      <c r="AD853" s="81"/>
      <c r="AE853" s="81"/>
      <c r="AF853" s="81"/>
    </row>
    <row r="854" spans="1:32">
      <c r="A854" s="76" t="s">
        <v>1588</v>
      </c>
      <c r="B854" s="79">
        <f>B855*2*0.45</f>
        <v>30600</v>
      </c>
      <c r="C854" s="79">
        <f t="shared" ref="C854:I854" si="1416">C855*2*0.45</f>
        <v>34965</v>
      </c>
      <c r="D854" s="79">
        <f t="shared" si="1416"/>
        <v>39330</v>
      </c>
      <c r="E854" s="79">
        <f t="shared" si="1416"/>
        <v>43695</v>
      </c>
      <c r="F854" s="79">
        <f t="shared" si="1416"/>
        <v>47205</v>
      </c>
      <c r="G854" s="79">
        <f t="shared" si="1416"/>
        <v>50715</v>
      </c>
      <c r="H854" s="79">
        <f t="shared" si="1416"/>
        <v>54225</v>
      </c>
      <c r="I854" s="79">
        <f t="shared" si="1416"/>
        <v>57690</v>
      </c>
      <c r="J854" s="80">
        <f t="shared" si="1403"/>
        <v>765</v>
      </c>
      <c r="K854" s="80">
        <f t="shared" si="1404"/>
        <v>819</v>
      </c>
      <c r="L854" s="80">
        <f t="shared" si="1405"/>
        <v>983</v>
      </c>
      <c r="M854" s="80">
        <f t="shared" si="1406"/>
        <v>1136</v>
      </c>
      <c r="N854" s="80">
        <f t="shared" si="1407"/>
        <v>1267</v>
      </c>
      <c r="O854" s="80">
        <f t="shared" si="1408"/>
        <v>1398</v>
      </c>
      <c r="P854" s="81"/>
      <c r="Q854" s="81"/>
      <c r="R854" s="81"/>
      <c r="S854" s="81"/>
      <c r="T854" s="81"/>
      <c r="U854" s="81"/>
      <c r="V854" s="81"/>
      <c r="W854" s="81"/>
      <c r="X854" s="81"/>
      <c r="Y854" s="81"/>
      <c r="Z854" s="81"/>
      <c r="AA854" s="81"/>
      <c r="AB854" s="81"/>
      <c r="AC854" s="81"/>
      <c r="AD854" s="81"/>
      <c r="AE854" s="81"/>
      <c r="AF854" s="81"/>
    </row>
    <row r="855" spans="1:32">
      <c r="A855" s="82" t="s">
        <v>1589</v>
      </c>
      <c r="B855" s="84">
        <f>'MTSP 50% Income Limits '!B49</f>
        <v>34000</v>
      </c>
      <c r="C855" s="84">
        <f>'MTSP 50% Income Limits '!C49</f>
        <v>38850</v>
      </c>
      <c r="D855" s="84">
        <f>'MTSP 50% Income Limits '!D49</f>
        <v>43700</v>
      </c>
      <c r="E855" s="84">
        <f>'MTSP 50% Income Limits '!E49</f>
        <v>48550</v>
      </c>
      <c r="F855" s="84">
        <f>'MTSP 50% Income Limits '!F49</f>
        <v>52450</v>
      </c>
      <c r="G855" s="84">
        <f>'MTSP 50% Income Limits '!G49</f>
        <v>56350</v>
      </c>
      <c r="H855" s="84">
        <f>'MTSP 50% Income Limits '!H49</f>
        <v>60250</v>
      </c>
      <c r="I855" s="84">
        <f>'MTSP 50% Income Limits '!I49</f>
        <v>64100</v>
      </c>
      <c r="J855" s="83">
        <f>TRUNC(B855/12*0.3)</f>
        <v>850</v>
      </c>
      <c r="K855" s="83">
        <f>TRUNC((B855+C855)/2/12*0.3)</f>
        <v>910</v>
      </c>
      <c r="L855" s="83">
        <f>TRUNC((D855)/12*0.3)</f>
        <v>1092</v>
      </c>
      <c r="M855" s="83">
        <f>TRUNC(((E855+F855)/2)/12*0.3)</f>
        <v>1262</v>
      </c>
      <c r="N855" s="83">
        <f>TRUNC(G855/12*0.3)</f>
        <v>1408</v>
      </c>
      <c r="O855" s="83">
        <f>TRUNC(((H855+I855)/2)/12*0.3)</f>
        <v>1554</v>
      </c>
      <c r="P855" s="81"/>
      <c r="Q855" s="81"/>
      <c r="R855" s="81"/>
      <c r="S855" s="81"/>
      <c r="T855" s="81"/>
      <c r="U855" s="81"/>
      <c r="V855" s="81"/>
      <c r="W855" s="81"/>
      <c r="X855" s="81"/>
      <c r="Y855" s="81"/>
      <c r="Z855" s="81"/>
      <c r="AA855" s="81"/>
      <c r="AB855" s="81"/>
      <c r="AC855" s="81"/>
      <c r="AD855" s="81"/>
      <c r="AE855" s="81"/>
      <c r="AF855" s="81"/>
    </row>
    <row r="856" spans="1:32">
      <c r="A856" s="76" t="s">
        <v>1590</v>
      </c>
      <c r="B856" s="79">
        <f>B855*2*0.55</f>
        <v>37400</v>
      </c>
      <c r="C856" s="79">
        <f t="shared" ref="C856:I856" si="1417">C855*2*0.55</f>
        <v>42735</v>
      </c>
      <c r="D856" s="79">
        <f t="shared" si="1417"/>
        <v>48070.000000000007</v>
      </c>
      <c r="E856" s="79">
        <f t="shared" si="1417"/>
        <v>53405.000000000007</v>
      </c>
      <c r="F856" s="79">
        <f t="shared" si="1417"/>
        <v>57695.000000000007</v>
      </c>
      <c r="G856" s="79">
        <f t="shared" si="1417"/>
        <v>61985.000000000007</v>
      </c>
      <c r="H856" s="79">
        <f t="shared" si="1417"/>
        <v>66275</v>
      </c>
      <c r="I856" s="79">
        <f t="shared" si="1417"/>
        <v>70510</v>
      </c>
      <c r="J856" s="80">
        <f t="shared" ref="J856:J862" si="1418">TRUNC(B856/12*0.3)</f>
        <v>935</v>
      </c>
      <c r="K856" s="80">
        <f t="shared" ref="K856:K862" si="1419">TRUNC((B856+C856)/2/12*0.3)</f>
        <v>1001</v>
      </c>
      <c r="L856" s="80">
        <f t="shared" ref="L856:L862" si="1420">TRUNC((D856)/12*0.3)</f>
        <v>1201</v>
      </c>
      <c r="M856" s="80">
        <f t="shared" ref="M856:M862" si="1421">TRUNC(((E856+F856)/2)/12*0.3)</f>
        <v>1388</v>
      </c>
      <c r="N856" s="80">
        <f t="shared" ref="N856:N862" si="1422">TRUNC(G856/12*0.3)</f>
        <v>1549</v>
      </c>
      <c r="O856" s="80">
        <f t="shared" ref="O856:O862" si="1423">TRUNC(((H856+I856)/2)/12*0.3)</f>
        <v>1709</v>
      </c>
      <c r="P856" s="81"/>
      <c r="Q856" s="81"/>
      <c r="R856" s="81"/>
      <c r="S856" s="81"/>
      <c r="T856" s="81"/>
      <c r="U856" s="81"/>
      <c r="V856" s="81"/>
      <c r="W856" s="81"/>
      <c r="X856" s="81"/>
      <c r="Y856" s="81"/>
      <c r="Z856" s="81"/>
      <c r="AA856" s="81"/>
      <c r="AB856" s="81"/>
      <c r="AC856" s="81"/>
      <c r="AD856" s="81"/>
      <c r="AE856" s="81"/>
      <c r="AF856" s="81"/>
    </row>
    <row r="857" spans="1:32">
      <c r="A857" s="76" t="s">
        <v>1591</v>
      </c>
      <c r="B857" s="79">
        <f>B855*2*0.6</f>
        <v>40800</v>
      </c>
      <c r="C857" s="79">
        <f t="shared" ref="C857:I857" si="1424">C855*2*0.6</f>
        <v>46620</v>
      </c>
      <c r="D857" s="79">
        <f t="shared" si="1424"/>
        <v>52440</v>
      </c>
      <c r="E857" s="79">
        <f t="shared" si="1424"/>
        <v>58260</v>
      </c>
      <c r="F857" s="79">
        <f t="shared" si="1424"/>
        <v>62940</v>
      </c>
      <c r="G857" s="79">
        <f t="shared" si="1424"/>
        <v>67620</v>
      </c>
      <c r="H857" s="79">
        <f t="shared" si="1424"/>
        <v>72300</v>
      </c>
      <c r="I857" s="79">
        <f t="shared" si="1424"/>
        <v>76920</v>
      </c>
      <c r="J857" s="80">
        <f t="shared" si="1418"/>
        <v>1020</v>
      </c>
      <c r="K857" s="80">
        <f t="shared" si="1419"/>
        <v>1092</v>
      </c>
      <c r="L857" s="80">
        <f t="shared" si="1420"/>
        <v>1311</v>
      </c>
      <c r="M857" s="80">
        <f t="shared" si="1421"/>
        <v>1515</v>
      </c>
      <c r="N857" s="80">
        <f t="shared" si="1422"/>
        <v>1690</v>
      </c>
      <c r="O857" s="80">
        <f t="shared" si="1423"/>
        <v>1865</v>
      </c>
      <c r="P857" s="81"/>
      <c r="Q857" s="81"/>
      <c r="R857" s="81"/>
      <c r="S857" s="81"/>
      <c r="T857" s="81"/>
      <c r="U857" s="81"/>
      <c r="V857" s="81"/>
      <c r="W857" s="81"/>
      <c r="X857" s="81"/>
      <c r="Y857" s="81"/>
      <c r="Z857" s="81"/>
      <c r="AA857" s="81"/>
      <c r="AB857" s="81"/>
      <c r="AC857" s="81"/>
      <c r="AD857" s="81"/>
      <c r="AE857" s="81"/>
      <c r="AF857" s="81"/>
    </row>
    <row r="858" spans="1:32">
      <c r="A858" s="76" t="s">
        <v>1592</v>
      </c>
      <c r="B858" s="79">
        <f>B855*2*0.65</f>
        <v>44200</v>
      </c>
      <c r="C858" s="79">
        <f t="shared" ref="C858:I858" si="1425">C855*2*0.65</f>
        <v>50505</v>
      </c>
      <c r="D858" s="79">
        <f t="shared" si="1425"/>
        <v>56810</v>
      </c>
      <c r="E858" s="79">
        <f t="shared" si="1425"/>
        <v>63115</v>
      </c>
      <c r="F858" s="79">
        <f t="shared" si="1425"/>
        <v>68185</v>
      </c>
      <c r="G858" s="79">
        <f t="shared" si="1425"/>
        <v>73255</v>
      </c>
      <c r="H858" s="79">
        <f t="shared" si="1425"/>
        <v>78325</v>
      </c>
      <c r="I858" s="79">
        <f t="shared" si="1425"/>
        <v>83330</v>
      </c>
      <c r="J858" s="80">
        <f t="shared" si="1418"/>
        <v>1105</v>
      </c>
      <c r="K858" s="80">
        <f t="shared" si="1419"/>
        <v>1183</v>
      </c>
      <c r="L858" s="80">
        <f t="shared" si="1420"/>
        <v>1420</v>
      </c>
      <c r="M858" s="80">
        <f t="shared" si="1421"/>
        <v>1641</v>
      </c>
      <c r="N858" s="80">
        <f t="shared" si="1422"/>
        <v>1831</v>
      </c>
      <c r="O858" s="80">
        <f t="shared" si="1423"/>
        <v>2020</v>
      </c>
      <c r="P858" s="81"/>
      <c r="Q858" s="81"/>
      <c r="R858" s="81"/>
      <c r="S858" s="81"/>
      <c r="T858" s="81"/>
      <c r="U858" s="81"/>
      <c r="V858" s="81"/>
      <c r="W858" s="81"/>
      <c r="X858" s="81"/>
      <c r="Y858" s="81"/>
      <c r="Z858" s="81"/>
      <c r="AA858" s="81"/>
      <c r="AB858" s="81"/>
      <c r="AC858" s="81"/>
      <c r="AD858" s="81"/>
      <c r="AE858" s="81"/>
      <c r="AF858" s="81"/>
    </row>
    <row r="859" spans="1:32">
      <c r="A859" s="76" t="s">
        <v>1593</v>
      </c>
      <c r="B859" s="79">
        <f>B855*2*0.7</f>
        <v>47600</v>
      </c>
      <c r="C859" s="79">
        <f t="shared" ref="C859:I859" si="1426">C855*2*0.7</f>
        <v>54390</v>
      </c>
      <c r="D859" s="79">
        <f t="shared" si="1426"/>
        <v>61179.999999999993</v>
      </c>
      <c r="E859" s="79">
        <f t="shared" si="1426"/>
        <v>67970</v>
      </c>
      <c r="F859" s="79">
        <f t="shared" si="1426"/>
        <v>73430</v>
      </c>
      <c r="G859" s="79">
        <f t="shared" si="1426"/>
        <v>78890</v>
      </c>
      <c r="H859" s="79">
        <f t="shared" si="1426"/>
        <v>84350</v>
      </c>
      <c r="I859" s="79">
        <f t="shared" si="1426"/>
        <v>89740</v>
      </c>
      <c r="J859" s="80">
        <f t="shared" si="1418"/>
        <v>1190</v>
      </c>
      <c r="K859" s="80">
        <f t="shared" si="1419"/>
        <v>1274</v>
      </c>
      <c r="L859" s="80">
        <f t="shared" si="1420"/>
        <v>1529</v>
      </c>
      <c r="M859" s="80">
        <f t="shared" si="1421"/>
        <v>1767</v>
      </c>
      <c r="N859" s="80">
        <f t="shared" si="1422"/>
        <v>1972</v>
      </c>
      <c r="O859" s="80">
        <f t="shared" si="1423"/>
        <v>2176</v>
      </c>
      <c r="P859" s="81"/>
      <c r="Q859" s="81"/>
      <c r="R859" s="81"/>
      <c r="S859" s="81"/>
      <c r="T859" s="81"/>
      <c r="U859" s="81"/>
      <c r="V859" s="81"/>
      <c r="W859" s="81"/>
      <c r="X859" s="81"/>
      <c r="Y859" s="81"/>
      <c r="Z859" s="81"/>
      <c r="AA859" s="81"/>
      <c r="AB859" s="81"/>
      <c r="AC859" s="81"/>
      <c r="AD859" s="81"/>
      <c r="AE859" s="81"/>
      <c r="AF859" s="81"/>
    </row>
    <row r="860" spans="1:32">
      <c r="A860" s="76" t="s">
        <v>1594</v>
      </c>
      <c r="B860" s="79">
        <f>B855*2*0.75</f>
        <v>51000</v>
      </c>
      <c r="C860" s="79">
        <f t="shared" ref="C860:I860" si="1427">C855*2*0.75</f>
        <v>58275</v>
      </c>
      <c r="D860" s="79">
        <f t="shared" si="1427"/>
        <v>65550</v>
      </c>
      <c r="E860" s="79">
        <f t="shared" si="1427"/>
        <v>72825</v>
      </c>
      <c r="F860" s="79">
        <f t="shared" si="1427"/>
        <v>78675</v>
      </c>
      <c r="G860" s="79">
        <f t="shared" si="1427"/>
        <v>84525</v>
      </c>
      <c r="H860" s="79">
        <f t="shared" si="1427"/>
        <v>90375</v>
      </c>
      <c r="I860" s="79">
        <f t="shared" si="1427"/>
        <v>96150</v>
      </c>
      <c r="J860" s="80">
        <f t="shared" si="1418"/>
        <v>1275</v>
      </c>
      <c r="K860" s="80">
        <f t="shared" si="1419"/>
        <v>1365</v>
      </c>
      <c r="L860" s="80">
        <f t="shared" si="1420"/>
        <v>1638</v>
      </c>
      <c r="M860" s="80">
        <f t="shared" si="1421"/>
        <v>1893</v>
      </c>
      <c r="N860" s="80">
        <f t="shared" si="1422"/>
        <v>2113</v>
      </c>
      <c r="O860" s="80">
        <f t="shared" si="1423"/>
        <v>2331</v>
      </c>
      <c r="P860" s="81"/>
      <c r="Q860" s="81"/>
      <c r="R860" s="81"/>
      <c r="S860" s="81"/>
      <c r="T860" s="81"/>
      <c r="U860" s="81"/>
      <c r="V860" s="81"/>
      <c r="W860" s="81"/>
      <c r="X860" s="81"/>
      <c r="Y860" s="81"/>
      <c r="Z860" s="81"/>
      <c r="AA860" s="81"/>
      <c r="AB860" s="81"/>
      <c r="AC860" s="81"/>
      <c r="AD860" s="81"/>
      <c r="AE860" s="81"/>
      <c r="AF860" s="81"/>
    </row>
    <row r="861" spans="1:32">
      <c r="A861" s="76" t="s">
        <v>1595</v>
      </c>
      <c r="B861" s="79">
        <f>B855*2*0.8</f>
        <v>54400</v>
      </c>
      <c r="C861" s="79">
        <f t="shared" ref="C861:I861" si="1428">C855*2*0.8</f>
        <v>62160</v>
      </c>
      <c r="D861" s="79">
        <f t="shared" si="1428"/>
        <v>69920</v>
      </c>
      <c r="E861" s="79">
        <f t="shared" si="1428"/>
        <v>77680</v>
      </c>
      <c r="F861" s="79">
        <f t="shared" si="1428"/>
        <v>83920</v>
      </c>
      <c r="G861" s="79">
        <f t="shared" si="1428"/>
        <v>90160</v>
      </c>
      <c r="H861" s="79">
        <f t="shared" si="1428"/>
        <v>96400</v>
      </c>
      <c r="I861" s="79">
        <f t="shared" si="1428"/>
        <v>102560</v>
      </c>
      <c r="J861" s="80">
        <f t="shared" si="1418"/>
        <v>1360</v>
      </c>
      <c r="K861" s="80">
        <f t="shared" si="1419"/>
        <v>1457</v>
      </c>
      <c r="L861" s="80">
        <f t="shared" si="1420"/>
        <v>1748</v>
      </c>
      <c r="M861" s="80">
        <f t="shared" si="1421"/>
        <v>2020</v>
      </c>
      <c r="N861" s="80">
        <f t="shared" si="1422"/>
        <v>2254</v>
      </c>
      <c r="O861" s="80">
        <f t="shared" si="1423"/>
        <v>2487</v>
      </c>
      <c r="P861" s="81"/>
      <c r="Q861" s="81"/>
      <c r="R861" s="81"/>
      <c r="S861" s="81"/>
      <c r="T861" s="81"/>
      <c r="U861" s="81"/>
      <c r="V861" s="81"/>
      <c r="W861" s="81"/>
      <c r="X861" s="81"/>
      <c r="Y861" s="81"/>
      <c r="Z861" s="81"/>
      <c r="AA861" s="81"/>
      <c r="AB861" s="81"/>
      <c r="AC861" s="81"/>
      <c r="AD861" s="81"/>
      <c r="AE861" s="81"/>
      <c r="AF861" s="81"/>
    </row>
    <row r="862" spans="1:32">
      <c r="A862" s="76" t="s">
        <v>1596</v>
      </c>
      <c r="B862" s="79">
        <f>B855*2*0.9</f>
        <v>61200</v>
      </c>
      <c r="C862" s="79">
        <f t="shared" ref="C862:I862" si="1429">C855*2*0.9</f>
        <v>69930</v>
      </c>
      <c r="D862" s="79">
        <f t="shared" si="1429"/>
        <v>78660</v>
      </c>
      <c r="E862" s="79">
        <f t="shared" si="1429"/>
        <v>87390</v>
      </c>
      <c r="F862" s="79">
        <f t="shared" si="1429"/>
        <v>94410</v>
      </c>
      <c r="G862" s="79">
        <f t="shared" si="1429"/>
        <v>101430</v>
      </c>
      <c r="H862" s="79">
        <f t="shared" si="1429"/>
        <v>108450</v>
      </c>
      <c r="I862" s="79">
        <f t="shared" si="1429"/>
        <v>115380</v>
      </c>
      <c r="J862" s="80">
        <f t="shared" si="1418"/>
        <v>1530</v>
      </c>
      <c r="K862" s="80">
        <f t="shared" si="1419"/>
        <v>1639</v>
      </c>
      <c r="L862" s="80">
        <f t="shared" si="1420"/>
        <v>1966</v>
      </c>
      <c r="M862" s="80">
        <f t="shared" si="1421"/>
        <v>2272</v>
      </c>
      <c r="N862" s="80">
        <f t="shared" si="1422"/>
        <v>2535</v>
      </c>
      <c r="O862" s="80">
        <f t="shared" si="1423"/>
        <v>2797</v>
      </c>
      <c r="P862" s="81"/>
      <c r="Q862" s="81"/>
      <c r="R862" s="81"/>
      <c r="S862" s="81"/>
      <c r="T862" s="81"/>
      <c r="U862" s="81"/>
      <c r="V862" s="81"/>
      <c r="W862" s="81"/>
      <c r="X862" s="81"/>
      <c r="Y862" s="81"/>
      <c r="Z862" s="81"/>
      <c r="AA862" s="81"/>
      <c r="AB862" s="81"/>
      <c r="AC862" s="81"/>
      <c r="AD862" s="81"/>
      <c r="AE862" s="81"/>
      <c r="AF862" s="81"/>
    </row>
    <row r="863" spans="1:32">
      <c r="A863" s="76" t="s">
        <v>1597</v>
      </c>
      <c r="B863" s="79">
        <f>B855*2</f>
        <v>68000</v>
      </c>
      <c r="C863" s="79">
        <f t="shared" ref="C863:I863" si="1430">C855*2</f>
        <v>77700</v>
      </c>
      <c r="D863" s="79">
        <f t="shared" si="1430"/>
        <v>87400</v>
      </c>
      <c r="E863" s="79">
        <f t="shared" si="1430"/>
        <v>97100</v>
      </c>
      <c r="F863" s="79">
        <f t="shared" si="1430"/>
        <v>104900</v>
      </c>
      <c r="G863" s="79">
        <f t="shared" si="1430"/>
        <v>112700</v>
      </c>
      <c r="H863" s="79">
        <f t="shared" si="1430"/>
        <v>120500</v>
      </c>
      <c r="I863" s="79">
        <f t="shared" si="1430"/>
        <v>128200</v>
      </c>
      <c r="J863" s="80">
        <f>J855*2</f>
        <v>1700</v>
      </c>
      <c r="K863" s="80">
        <f t="shared" ref="K863:O863" si="1431">K855*2</f>
        <v>1820</v>
      </c>
      <c r="L863" s="80">
        <f t="shared" si="1431"/>
        <v>2184</v>
      </c>
      <c r="M863" s="80">
        <f t="shared" si="1431"/>
        <v>2524</v>
      </c>
      <c r="N863" s="80">
        <f t="shared" si="1431"/>
        <v>2816</v>
      </c>
      <c r="O863" s="80">
        <f t="shared" si="1431"/>
        <v>3108</v>
      </c>
      <c r="P863" s="81"/>
      <c r="Q863" s="81"/>
      <c r="R863" s="81"/>
      <c r="S863" s="81"/>
      <c r="T863" s="81"/>
      <c r="U863" s="81"/>
      <c r="V863" s="81"/>
      <c r="W863" s="81"/>
      <c r="X863" s="81"/>
      <c r="Y863" s="81"/>
      <c r="Z863" s="81"/>
      <c r="AA863" s="81"/>
      <c r="AB863" s="81"/>
      <c r="AC863" s="81"/>
      <c r="AD863" s="81"/>
      <c r="AE863" s="81"/>
      <c r="AF863" s="81"/>
    </row>
    <row r="864" spans="1:32">
      <c r="A864" s="76" t="s">
        <v>1598</v>
      </c>
      <c r="B864" s="79">
        <f>B855*2*1.1</f>
        <v>74800</v>
      </c>
      <c r="C864" s="79">
        <f t="shared" ref="C864:I864" si="1432">C855*2*1.1</f>
        <v>85470</v>
      </c>
      <c r="D864" s="79">
        <f t="shared" si="1432"/>
        <v>96140.000000000015</v>
      </c>
      <c r="E864" s="79">
        <f t="shared" si="1432"/>
        <v>106810.00000000001</v>
      </c>
      <c r="F864" s="79">
        <f t="shared" si="1432"/>
        <v>115390.00000000001</v>
      </c>
      <c r="G864" s="79">
        <f t="shared" si="1432"/>
        <v>123970.00000000001</v>
      </c>
      <c r="H864" s="79">
        <f t="shared" si="1432"/>
        <v>132550</v>
      </c>
      <c r="I864" s="79">
        <f t="shared" si="1432"/>
        <v>141020</v>
      </c>
      <c r="J864" s="80">
        <f t="shared" ref="J864:J872" si="1433">TRUNC(B864/12*0.3)</f>
        <v>1870</v>
      </c>
      <c r="K864" s="80">
        <f t="shared" ref="K864:K872" si="1434">TRUNC((B864+C864)/2/12*0.3)</f>
        <v>2003</v>
      </c>
      <c r="L864" s="80">
        <f t="shared" ref="L864:L872" si="1435">TRUNC((D864)/12*0.3)</f>
        <v>2403</v>
      </c>
      <c r="M864" s="80">
        <f t="shared" ref="M864:M872" si="1436">TRUNC(((E864+F864)/2)/12*0.3)</f>
        <v>2777</v>
      </c>
      <c r="N864" s="80">
        <f t="shared" ref="N864:N872" si="1437">TRUNC(G864/12*0.3)</f>
        <v>3099</v>
      </c>
      <c r="O864" s="80">
        <f t="shared" ref="O864:O872" si="1438">TRUNC(((H864+I864)/2)/12*0.3)</f>
        <v>3419</v>
      </c>
      <c r="P864" s="81"/>
      <c r="Q864" s="81"/>
      <c r="R864" s="81"/>
      <c r="S864" s="81"/>
      <c r="T864" s="81"/>
      <c r="U864" s="81"/>
      <c r="V864" s="81"/>
      <c r="W864" s="81"/>
      <c r="X864" s="81"/>
      <c r="Y864" s="81"/>
      <c r="Z864" s="81"/>
      <c r="AA864" s="81"/>
      <c r="AB864" s="81"/>
      <c r="AC864" s="81"/>
      <c r="AD864" s="81"/>
      <c r="AE864" s="81"/>
      <c r="AF864" s="81"/>
    </row>
    <row r="865" spans="1:32">
      <c r="A865" s="76" t="s">
        <v>1599</v>
      </c>
      <c r="B865" s="79">
        <f>B855*2*1.2</f>
        <v>81600</v>
      </c>
      <c r="C865" s="79">
        <f t="shared" ref="C865:I865" si="1439">C855*2*1.2</f>
        <v>93240</v>
      </c>
      <c r="D865" s="79">
        <f t="shared" si="1439"/>
        <v>104880</v>
      </c>
      <c r="E865" s="79">
        <f t="shared" si="1439"/>
        <v>116520</v>
      </c>
      <c r="F865" s="79">
        <f t="shared" si="1439"/>
        <v>125880</v>
      </c>
      <c r="G865" s="79">
        <f t="shared" si="1439"/>
        <v>135240</v>
      </c>
      <c r="H865" s="79">
        <f t="shared" si="1439"/>
        <v>144600</v>
      </c>
      <c r="I865" s="79">
        <f t="shared" si="1439"/>
        <v>153840</v>
      </c>
      <c r="J865" s="80">
        <f t="shared" si="1433"/>
        <v>2040</v>
      </c>
      <c r="K865" s="80">
        <f t="shared" si="1434"/>
        <v>2185</v>
      </c>
      <c r="L865" s="80">
        <f t="shared" si="1435"/>
        <v>2622</v>
      </c>
      <c r="M865" s="80">
        <f t="shared" si="1436"/>
        <v>3030</v>
      </c>
      <c r="N865" s="80">
        <f t="shared" si="1437"/>
        <v>3381</v>
      </c>
      <c r="O865" s="80">
        <f t="shared" si="1438"/>
        <v>3730</v>
      </c>
      <c r="P865" s="81"/>
      <c r="Q865" s="81"/>
      <c r="R865" s="81"/>
      <c r="S865" s="81"/>
      <c r="T865" s="81"/>
      <c r="U865" s="81"/>
      <c r="V865" s="81"/>
      <c r="W865" s="81"/>
      <c r="X865" s="81"/>
      <c r="Y865" s="81"/>
      <c r="Z865" s="81"/>
      <c r="AA865" s="81"/>
      <c r="AB865" s="81"/>
      <c r="AC865" s="81"/>
      <c r="AD865" s="81"/>
      <c r="AE865" s="81"/>
      <c r="AF865" s="81"/>
    </row>
    <row r="866" spans="1:32">
      <c r="A866" s="76" t="s">
        <v>1600</v>
      </c>
      <c r="B866" s="79">
        <f>B873*2*0.15</f>
        <v>12225</v>
      </c>
      <c r="C866" s="79">
        <f>C873*2*0.15</f>
        <v>13965</v>
      </c>
      <c r="D866" s="79">
        <f>D873*2*0.15</f>
        <v>15705</v>
      </c>
      <c r="E866" s="79">
        <f>E873*2*0.15</f>
        <v>17445</v>
      </c>
      <c r="F866" s="79">
        <f>F873*2*0.15</f>
        <v>18855</v>
      </c>
      <c r="G866" s="79">
        <f t="shared" ref="G866:I866" si="1440">G873*2*0.15</f>
        <v>20250</v>
      </c>
      <c r="H866" s="79">
        <f t="shared" si="1440"/>
        <v>21645</v>
      </c>
      <c r="I866" s="79">
        <f t="shared" si="1440"/>
        <v>23040</v>
      </c>
      <c r="J866" s="80">
        <f t="shared" si="1433"/>
        <v>305</v>
      </c>
      <c r="K866" s="80">
        <f t="shared" si="1434"/>
        <v>327</v>
      </c>
      <c r="L866" s="80">
        <f t="shared" si="1435"/>
        <v>392</v>
      </c>
      <c r="M866" s="80">
        <f t="shared" si="1436"/>
        <v>453</v>
      </c>
      <c r="N866" s="80">
        <f t="shared" si="1437"/>
        <v>506</v>
      </c>
      <c r="O866" s="80">
        <f t="shared" si="1438"/>
        <v>558</v>
      </c>
      <c r="P866" s="81"/>
      <c r="Q866" s="81"/>
      <c r="R866" s="81"/>
      <c r="S866" s="81"/>
      <c r="T866" s="81"/>
      <c r="U866" s="81"/>
      <c r="V866" s="81"/>
      <c r="W866" s="81"/>
      <c r="X866" s="81"/>
      <c r="Y866" s="81"/>
      <c r="Z866" s="81"/>
      <c r="AA866" s="81"/>
      <c r="AB866" s="81"/>
      <c r="AC866" s="81"/>
      <c r="AD866" s="81"/>
      <c r="AE866" s="81"/>
      <c r="AF866" s="81"/>
    </row>
    <row r="867" spans="1:32">
      <c r="A867" s="76" t="s">
        <v>1601</v>
      </c>
      <c r="B867" s="79">
        <f>B873*2*0.2</f>
        <v>16300</v>
      </c>
      <c r="C867" s="79">
        <f t="shared" ref="C867:I867" si="1441">C873*2*0.2</f>
        <v>18620</v>
      </c>
      <c r="D867" s="79">
        <f t="shared" si="1441"/>
        <v>20940</v>
      </c>
      <c r="E867" s="79">
        <f t="shared" si="1441"/>
        <v>23260</v>
      </c>
      <c r="F867" s="79">
        <f t="shared" si="1441"/>
        <v>25140</v>
      </c>
      <c r="G867" s="79">
        <f t="shared" si="1441"/>
        <v>27000</v>
      </c>
      <c r="H867" s="79">
        <f t="shared" si="1441"/>
        <v>28860</v>
      </c>
      <c r="I867" s="79">
        <f t="shared" si="1441"/>
        <v>30720</v>
      </c>
      <c r="J867" s="80">
        <f t="shared" si="1433"/>
        <v>407</v>
      </c>
      <c r="K867" s="80">
        <f t="shared" si="1434"/>
        <v>436</v>
      </c>
      <c r="L867" s="80">
        <f t="shared" si="1435"/>
        <v>523</v>
      </c>
      <c r="M867" s="80">
        <f t="shared" si="1436"/>
        <v>605</v>
      </c>
      <c r="N867" s="80">
        <f t="shared" si="1437"/>
        <v>675</v>
      </c>
      <c r="O867" s="80">
        <f t="shared" si="1438"/>
        <v>744</v>
      </c>
      <c r="P867" s="81"/>
      <c r="Q867" s="81"/>
      <c r="R867" s="81"/>
      <c r="S867" s="81"/>
      <c r="T867" s="81"/>
      <c r="U867" s="81"/>
      <c r="V867" s="81"/>
      <c r="W867" s="81"/>
      <c r="X867" s="81"/>
      <c r="Y867" s="81"/>
      <c r="Z867" s="81"/>
      <c r="AA867" s="81"/>
      <c r="AB867" s="81"/>
      <c r="AC867" s="81"/>
      <c r="AD867" s="81"/>
      <c r="AE867" s="81"/>
      <c r="AF867" s="81"/>
    </row>
    <row r="868" spans="1:32">
      <c r="A868" s="76" t="s">
        <v>1602</v>
      </c>
      <c r="B868" s="79">
        <f>B873*2*0.25</f>
        <v>20375</v>
      </c>
      <c r="C868" s="79">
        <f t="shared" ref="C868:I868" si="1442">C873*2*0.25</f>
        <v>23275</v>
      </c>
      <c r="D868" s="79">
        <f t="shared" si="1442"/>
        <v>26175</v>
      </c>
      <c r="E868" s="79">
        <f t="shared" si="1442"/>
        <v>29075</v>
      </c>
      <c r="F868" s="79">
        <f t="shared" si="1442"/>
        <v>31425</v>
      </c>
      <c r="G868" s="79">
        <f t="shared" si="1442"/>
        <v>33750</v>
      </c>
      <c r="H868" s="79">
        <f t="shared" si="1442"/>
        <v>36075</v>
      </c>
      <c r="I868" s="79">
        <f t="shared" si="1442"/>
        <v>38400</v>
      </c>
      <c r="J868" s="80">
        <f t="shared" si="1433"/>
        <v>509</v>
      </c>
      <c r="K868" s="80">
        <f t="shared" si="1434"/>
        <v>545</v>
      </c>
      <c r="L868" s="80">
        <f t="shared" si="1435"/>
        <v>654</v>
      </c>
      <c r="M868" s="80">
        <f t="shared" si="1436"/>
        <v>756</v>
      </c>
      <c r="N868" s="80">
        <f t="shared" si="1437"/>
        <v>843</v>
      </c>
      <c r="O868" s="80">
        <f t="shared" si="1438"/>
        <v>930</v>
      </c>
      <c r="P868" s="81"/>
      <c r="Q868" s="81"/>
      <c r="R868" s="81"/>
      <c r="S868" s="81"/>
      <c r="T868" s="81"/>
      <c r="U868" s="81"/>
      <c r="V868" s="81"/>
      <c r="W868" s="81"/>
      <c r="X868" s="81"/>
      <c r="Y868" s="81"/>
      <c r="Z868" s="81"/>
      <c r="AA868" s="81"/>
      <c r="AB868" s="81"/>
      <c r="AC868" s="81"/>
      <c r="AD868" s="81"/>
      <c r="AE868" s="81"/>
      <c r="AF868" s="81"/>
    </row>
    <row r="869" spans="1:32">
      <c r="A869" s="76" t="s">
        <v>1603</v>
      </c>
      <c r="B869" s="79">
        <f>B873*2*0.3</f>
        <v>24450</v>
      </c>
      <c r="C869" s="79">
        <f t="shared" ref="C869:I869" si="1443">C873*2*0.3</f>
        <v>27930</v>
      </c>
      <c r="D869" s="79">
        <f t="shared" si="1443"/>
        <v>31410</v>
      </c>
      <c r="E869" s="79">
        <f t="shared" si="1443"/>
        <v>34890</v>
      </c>
      <c r="F869" s="79">
        <f t="shared" si="1443"/>
        <v>37710</v>
      </c>
      <c r="G869" s="79">
        <f t="shared" si="1443"/>
        <v>40500</v>
      </c>
      <c r="H869" s="79">
        <f t="shared" si="1443"/>
        <v>43290</v>
      </c>
      <c r="I869" s="79">
        <f t="shared" si="1443"/>
        <v>46080</v>
      </c>
      <c r="J869" s="80">
        <f t="shared" si="1433"/>
        <v>611</v>
      </c>
      <c r="K869" s="80">
        <f t="shared" si="1434"/>
        <v>654</v>
      </c>
      <c r="L869" s="80">
        <f t="shared" si="1435"/>
        <v>785</v>
      </c>
      <c r="M869" s="80">
        <f t="shared" si="1436"/>
        <v>907</v>
      </c>
      <c r="N869" s="80">
        <f t="shared" si="1437"/>
        <v>1012</v>
      </c>
      <c r="O869" s="80">
        <f t="shared" si="1438"/>
        <v>1117</v>
      </c>
      <c r="P869" s="81"/>
      <c r="Q869" s="81"/>
      <c r="R869" s="81"/>
      <c r="S869" s="81"/>
      <c r="T869" s="81"/>
      <c r="U869" s="81"/>
      <c r="V869" s="81"/>
      <c r="W869" s="81"/>
      <c r="X869" s="81"/>
      <c r="Y869" s="81"/>
      <c r="Z869" s="81"/>
      <c r="AA869" s="81"/>
      <c r="AB869" s="81"/>
      <c r="AC869" s="81"/>
      <c r="AD869" s="81"/>
      <c r="AE869" s="81"/>
      <c r="AF869" s="81"/>
    </row>
    <row r="870" spans="1:32">
      <c r="A870" s="76" t="s">
        <v>1604</v>
      </c>
      <c r="B870" s="79">
        <f>B873*2*0.35</f>
        <v>28525</v>
      </c>
      <c r="C870" s="79">
        <f t="shared" ref="C870:I870" si="1444">C873*2*0.35</f>
        <v>32584.999999999996</v>
      </c>
      <c r="D870" s="79">
        <f t="shared" si="1444"/>
        <v>36645</v>
      </c>
      <c r="E870" s="79">
        <f t="shared" si="1444"/>
        <v>40705</v>
      </c>
      <c r="F870" s="79">
        <f t="shared" si="1444"/>
        <v>43995</v>
      </c>
      <c r="G870" s="79">
        <f t="shared" si="1444"/>
        <v>47250</v>
      </c>
      <c r="H870" s="79">
        <f t="shared" si="1444"/>
        <v>50505</v>
      </c>
      <c r="I870" s="79">
        <f t="shared" si="1444"/>
        <v>53760</v>
      </c>
      <c r="J870" s="80">
        <f t="shared" si="1433"/>
        <v>713</v>
      </c>
      <c r="K870" s="80">
        <f t="shared" si="1434"/>
        <v>763</v>
      </c>
      <c r="L870" s="80">
        <f t="shared" si="1435"/>
        <v>916</v>
      </c>
      <c r="M870" s="80">
        <f t="shared" si="1436"/>
        <v>1058</v>
      </c>
      <c r="N870" s="80">
        <f t="shared" si="1437"/>
        <v>1181</v>
      </c>
      <c r="O870" s="80">
        <f t="shared" si="1438"/>
        <v>1303</v>
      </c>
      <c r="P870" s="81"/>
      <c r="Q870" s="81"/>
      <c r="R870" s="81"/>
      <c r="S870" s="81"/>
      <c r="T870" s="81"/>
      <c r="U870" s="81"/>
      <c r="V870" s="81"/>
      <c r="W870" s="81"/>
      <c r="X870" s="81"/>
      <c r="Y870" s="81"/>
      <c r="Z870" s="81"/>
      <c r="AA870" s="81"/>
      <c r="AB870" s="81"/>
      <c r="AC870" s="81"/>
      <c r="AD870" s="81"/>
      <c r="AE870" s="81"/>
      <c r="AF870" s="81"/>
    </row>
    <row r="871" spans="1:32">
      <c r="A871" s="76" t="s">
        <v>1605</v>
      </c>
      <c r="B871" s="79">
        <f>B873*2*0.4</f>
        <v>32600</v>
      </c>
      <c r="C871" s="79">
        <f t="shared" ref="C871:I871" si="1445">C873*2*0.4</f>
        <v>37240</v>
      </c>
      <c r="D871" s="79">
        <f t="shared" si="1445"/>
        <v>41880</v>
      </c>
      <c r="E871" s="79">
        <f t="shared" si="1445"/>
        <v>46520</v>
      </c>
      <c r="F871" s="79">
        <f t="shared" si="1445"/>
        <v>50280</v>
      </c>
      <c r="G871" s="79">
        <f t="shared" si="1445"/>
        <v>54000</v>
      </c>
      <c r="H871" s="79">
        <f t="shared" si="1445"/>
        <v>57720</v>
      </c>
      <c r="I871" s="79">
        <f t="shared" si="1445"/>
        <v>61440</v>
      </c>
      <c r="J871" s="80">
        <f t="shared" si="1433"/>
        <v>815</v>
      </c>
      <c r="K871" s="80">
        <f t="shared" si="1434"/>
        <v>873</v>
      </c>
      <c r="L871" s="80">
        <f t="shared" si="1435"/>
        <v>1047</v>
      </c>
      <c r="M871" s="80">
        <f t="shared" si="1436"/>
        <v>1210</v>
      </c>
      <c r="N871" s="80">
        <f t="shared" si="1437"/>
        <v>1350</v>
      </c>
      <c r="O871" s="80">
        <f t="shared" si="1438"/>
        <v>1489</v>
      </c>
      <c r="P871" s="81"/>
      <c r="Q871" s="81"/>
      <c r="R871" s="81"/>
      <c r="S871" s="81"/>
      <c r="T871" s="81"/>
      <c r="U871" s="81"/>
      <c r="V871" s="81"/>
      <c r="W871" s="81"/>
      <c r="X871" s="81"/>
      <c r="Y871" s="81"/>
      <c r="Z871" s="81"/>
      <c r="AA871" s="81"/>
      <c r="AB871" s="81"/>
      <c r="AC871" s="81"/>
      <c r="AD871" s="81"/>
      <c r="AE871" s="81"/>
      <c r="AF871" s="81"/>
    </row>
    <row r="872" spans="1:32">
      <c r="A872" s="76" t="s">
        <v>1606</v>
      </c>
      <c r="B872" s="79">
        <f>B873*2*0.45</f>
        <v>36675</v>
      </c>
      <c r="C872" s="79">
        <f t="shared" ref="C872:I872" si="1446">C873*2*0.45</f>
        <v>41895</v>
      </c>
      <c r="D872" s="79">
        <f t="shared" si="1446"/>
        <v>47115</v>
      </c>
      <c r="E872" s="79">
        <f t="shared" si="1446"/>
        <v>52335</v>
      </c>
      <c r="F872" s="79">
        <f t="shared" si="1446"/>
        <v>56565</v>
      </c>
      <c r="G872" s="79">
        <f t="shared" si="1446"/>
        <v>60750</v>
      </c>
      <c r="H872" s="79">
        <f t="shared" si="1446"/>
        <v>64935</v>
      </c>
      <c r="I872" s="79">
        <f t="shared" si="1446"/>
        <v>69120</v>
      </c>
      <c r="J872" s="80">
        <f t="shared" si="1433"/>
        <v>916</v>
      </c>
      <c r="K872" s="80">
        <f t="shared" si="1434"/>
        <v>982</v>
      </c>
      <c r="L872" s="80">
        <f t="shared" si="1435"/>
        <v>1177</v>
      </c>
      <c r="M872" s="80">
        <f t="shared" si="1436"/>
        <v>1361</v>
      </c>
      <c r="N872" s="80">
        <f t="shared" si="1437"/>
        <v>1518</v>
      </c>
      <c r="O872" s="80">
        <f t="shared" si="1438"/>
        <v>1675</v>
      </c>
      <c r="P872" s="81"/>
      <c r="Q872" s="81"/>
      <c r="R872" s="81"/>
      <c r="S872" s="81"/>
      <c r="T872" s="81"/>
      <c r="U872" s="81"/>
      <c r="V872" s="81"/>
      <c r="W872" s="81"/>
      <c r="X872" s="81"/>
      <c r="Y872" s="81"/>
      <c r="Z872" s="81"/>
      <c r="AA872" s="81"/>
      <c r="AB872" s="81"/>
      <c r="AC872" s="81"/>
      <c r="AD872" s="81"/>
      <c r="AE872" s="81"/>
      <c r="AF872" s="81"/>
    </row>
    <row r="873" spans="1:32">
      <c r="A873" s="82" t="s">
        <v>1607</v>
      </c>
      <c r="B873" s="84">
        <f>'MTSP 50% Income Limits '!B50</f>
        <v>40750</v>
      </c>
      <c r="C873" s="84">
        <f>'MTSP 50% Income Limits '!C50</f>
        <v>46550</v>
      </c>
      <c r="D873" s="84">
        <f>'MTSP 50% Income Limits '!D50</f>
        <v>52350</v>
      </c>
      <c r="E873" s="84">
        <f>'MTSP 50% Income Limits '!E50</f>
        <v>58150</v>
      </c>
      <c r="F873" s="84">
        <f>'MTSP 50% Income Limits '!F50</f>
        <v>62850</v>
      </c>
      <c r="G873" s="84">
        <f>'MTSP 50% Income Limits '!G50</f>
        <v>67500</v>
      </c>
      <c r="H873" s="84">
        <f>'MTSP 50% Income Limits '!H50</f>
        <v>72150</v>
      </c>
      <c r="I873" s="84">
        <f>'MTSP 50% Income Limits '!I50</f>
        <v>76800</v>
      </c>
      <c r="J873" s="83">
        <f>TRUNC(B873/12*0.3)</f>
        <v>1018</v>
      </c>
      <c r="K873" s="83">
        <f>TRUNC((B873+C873)/2/12*0.3)</f>
        <v>1091</v>
      </c>
      <c r="L873" s="83">
        <f>TRUNC((D873)/12*0.3)</f>
        <v>1308</v>
      </c>
      <c r="M873" s="83">
        <f>TRUNC(((E873+F873)/2)/12*0.3)</f>
        <v>1512</v>
      </c>
      <c r="N873" s="83">
        <f>TRUNC(G873/12*0.3)</f>
        <v>1687</v>
      </c>
      <c r="O873" s="83">
        <f>TRUNC(((H873+I873)/2)/12*0.3)</f>
        <v>1861</v>
      </c>
      <c r="P873" s="81"/>
      <c r="Q873" s="81"/>
      <c r="R873" s="81"/>
      <c r="S873" s="81"/>
      <c r="T873" s="81"/>
      <c r="U873" s="81"/>
      <c r="V873" s="81"/>
      <c r="W873" s="81"/>
      <c r="X873" s="81"/>
      <c r="Y873" s="81"/>
      <c r="Z873" s="81"/>
      <c r="AA873" s="81"/>
      <c r="AB873" s="81"/>
      <c r="AC873" s="81"/>
      <c r="AD873" s="81"/>
      <c r="AE873" s="81"/>
      <c r="AF873" s="81"/>
    </row>
    <row r="874" spans="1:32">
      <c r="A874" s="76" t="s">
        <v>1608</v>
      </c>
      <c r="B874" s="79">
        <f>B873*2*0.55</f>
        <v>44825</v>
      </c>
      <c r="C874" s="79">
        <f t="shared" ref="C874:I874" si="1447">C873*2*0.55</f>
        <v>51205.000000000007</v>
      </c>
      <c r="D874" s="79">
        <f t="shared" si="1447"/>
        <v>57585.000000000007</v>
      </c>
      <c r="E874" s="79">
        <f t="shared" si="1447"/>
        <v>63965.000000000007</v>
      </c>
      <c r="F874" s="79">
        <f t="shared" si="1447"/>
        <v>69135</v>
      </c>
      <c r="G874" s="79">
        <f t="shared" si="1447"/>
        <v>74250</v>
      </c>
      <c r="H874" s="79">
        <f t="shared" si="1447"/>
        <v>79365</v>
      </c>
      <c r="I874" s="79">
        <f t="shared" si="1447"/>
        <v>84480</v>
      </c>
      <c r="J874" s="80">
        <f t="shared" ref="J874:J880" si="1448">TRUNC(B874/12*0.3)</f>
        <v>1120</v>
      </c>
      <c r="K874" s="80">
        <f t="shared" ref="K874:K880" si="1449">TRUNC((B874+C874)/2/12*0.3)</f>
        <v>1200</v>
      </c>
      <c r="L874" s="80">
        <f t="shared" ref="L874:L880" si="1450">TRUNC((D874)/12*0.3)</f>
        <v>1439</v>
      </c>
      <c r="M874" s="80">
        <f t="shared" ref="M874:M880" si="1451">TRUNC(((E874+F874)/2)/12*0.3)</f>
        <v>1663</v>
      </c>
      <c r="N874" s="80">
        <f t="shared" ref="N874:N880" si="1452">TRUNC(G874/12*0.3)</f>
        <v>1856</v>
      </c>
      <c r="O874" s="80">
        <f t="shared" ref="O874:O880" si="1453">TRUNC(((H874+I874)/2)/12*0.3)</f>
        <v>2048</v>
      </c>
      <c r="P874" s="81"/>
      <c r="Q874" s="81"/>
      <c r="R874" s="81"/>
      <c r="S874" s="81"/>
      <c r="T874" s="81"/>
      <c r="U874" s="81"/>
      <c r="V874" s="81"/>
      <c r="W874" s="81"/>
      <c r="X874" s="81"/>
      <c r="Y874" s="81"/>
      <c r="Z874" s="81"/>
      <c r="AA874" s="81"/>
      <c r="AB874" s="81"/>
      <c r="AC874" s="81"/>
      <c r="AD874" s="81"/>
      <c r="AE874" s="81"/>
      <c r="AF874" s="81"/>
    </row>
    <row r="875" spans="1:32">
      <c r="A875" s="76" t="s">
        <v>1609</v>
      </c>
      <c r="B875" s="79">
        <f>B873*2*0.6</f>
        <v>48900</v>
      </c>
      <c r="C875" s="79">
        <f t="shared" ref="C875:I875" si="1454">C873*2*0.6</f>
        <v>55860</v>
      </c>
      <c r="D875" s="79">
        <f t="shared" si="1454"/>
        <v>62820</v>
      </c>
      <c r="E875" s="79">
        <f t="shared" si="1454"/>
        <v>69780</v>
      </c>
      <c r="F875" s="79">
        <f t="shared" si="1454"/>
        <v>75420</v>
      </c>
      <c r="G875" s="79">
        <f t="shared" si="1454"/>
        <v>81000</v>
      </c>
      <c r="H875" s="79">
        <f t="shared" si="1454"/>
        <v>86580</v>
      </c>
      <c r="I875" s="79">
        <f t="shared" si="1454"/>
        <v>92160</v>
      </c>
      <c r="J875" s="80">
        <f t="shared" si="1448"/>
        <v>1222</v>
      </c>
      <c r="K875" s="80">
        <f t="shared" si="1449"/>
        <v>1309</v>
      </c>
      <c r="L875" s="80">
        <f t="shared" si="1450"/>
        <v>1570</v>
      </c>
      <c r="M875" s="80">
        <f t="shared" si="1451"/>
        <v>1815</v>
      </c>
      <c r="N875" s="80">
        <f t="shared" si="1452"/>
        <v>2025</v>
      </c>
      <c r="O875" s="80">
        <f t="shared" si="1453"/>
        <v>2234</v>
      </c>
      <c r="P875" s="81"/>
      <c r="Q875" s="81"/>
      <c r="R875" s="81"/>
      <c r="S875" s="81"/>
      <c r="T875" s="81"/>
      <c r="U875" s="81"/>
      <c r="V875" s="81"/>
      <c r="W875" s="81"/>
      <c r="X875" s="81"/>
      <c r="Y875" s="81"/>
      <c r="Z875" s="81"/>
      <c r="AA875" s="81"/>
      <c r="AB875" s="81"/>
      <c r="AC875" s="81"/>
      <c r="AD875" s="81"/>
      <c r="AE875" s="81"/>
      <c r="AF875" s="81"/>
    </row>
    <row r="876" spans="1:32">
      <c r="A876" s="76" t="s">
        <v>1610</v>
      </c>
      <c r="B876" s="79">
        <f>B873*2*0.65</f>
        <v>52975</v>
      </c>
      <c r="C876" s="79">
        <f t="shared" ref="C876:I876" si="1455">C873*2*0.65</f>
        <v>60515</v>
      </c>
      <c r="D876" s="79">
        <f t="shared" si="1455"/>
        <v>68055</v>
      </c>
      <c r="E876" s="79">
        <f t="shared" si="1455"/>
        <v>75595</v>
      </c>
      <c r="F876" s="79">
        <f t="shared" si="1455"/>
        <v>81705</v>
      </c>
      <c r="G876" s="79">
        <f t="shared" si="1455"/>
        <v>87750</v>
      </c>
      <c r="H876" s="79">
        <f t="shared" si="1455"/>
        <v>93795</v>
      </c>
      <c r="I876" s="79">
        <f t="shared" si="1455"/>
        <v>99840</v>
      </c>
      <c r="J876" s="80">
        <f t="shared" si="1448"/>
        <v>1324</v>
      </c>
      <c r="K876" s="80">
        <f t="shared" si="1449"/>
        <v>1418</v>
      </c>
      <c r="L876" s="80">
        <f t="shared" si="1450"/>
        <v>1701</v>
      </c>
      <c r="M876" s="80">
        <f t="shared" si="1451"/>
        <v>1966</v>
      </c>
      <c r="N876" s="80">
        <f t="shared" si="1452"/>
        <v>2193</v>
      </c>
      <c r="O876" s="80">
        <f t="shared" si="1453"/>
        <v>2420</v>
      </c>
      <c r="P876" s="81"/>
      <c r="Q876" s="81"/>
      <c r="R876" s="81"/>
      <c r="S876" s="81"/>
      <c r="T876" s="81"/>
      <c r="U876" s="81"/>
      <c r="V876" s="81"/>
      <c r="W876" s="81"/>
      <c r="X876" s="81"/>
      <c r="Y876" s="81"/>
      <c r="Z876" s="81"/>
      <c r="AA876" s="81"/>
      <c r="AB876" s="81"/>
      <c r="AC876" s="81"/>
      <c r="AD876" s="81"/>
      <c r="AE876" s="81"/>
      <c r="AF876" s="81"/>
    </row>
    <row r="877" spans="1:32">
      <c r="A877" s="76" t="s">
        <v>1611</v>
      </c>
      <c r="B877" s="79">
        <f>B873*2*0.7</f>
        <v>57050</v>
      </c>
      <c r="C877" s="79">
        <f t="shared" ref="C877:I877" si="1456">C873*2*0.7</f>
        <v>65169.999999999993</v>
      </c>
      <c r="D877" s="79">
        <f t="shared" si="1456"/>
        <v>73290</v>
      </c>
      <c r="E877" s="79">
        <f t="shared" si="1456"/>
        <v>81410</v>
      </c>
      <c r="F877" s="79">
        <f t="shared" si="1456"/>
        <v>87990</v>
      </c>
      <c r="G877" s="79">
        <f t="shared" si="1456"/>
        <v>94500</v>
      </c>
      <c r="H877" s="79">
        <f t="shared" si="1456"/>
        <v>101010</v>
      </c>
      <c r="I877" s="79">
        <f t="shared" si="1456"/>
        <v>107520</v>
      </c>
      <c r="J877" s="80">
        <f t="shared" si="1448"/>
        <v>1426</v>
      </c>
      <c r="K877" s="80">
        <f t="shared" si="1449"/>
        <v>1527</v>
      </c>
      <c r="L877" s="80">
        <f t="shared" si="1450"/>
        <v>1832</v>
      </c>
      <c r="M877" s="80">
        <f t="shared" si="1451"/>
        <v>2117</v>
      </c>
      <c r="N877" s="80">
        <f t="shared" si="1452"/>
        <v>2362</v>
      </c>
      <c r="O877" s="80">
        <f t="shared" si="1453"/>
        <v>2606</v>
      </c>
      <c r="P877" s="81"/>
      <c r="Q877" s="81"/>
      <c r="R877" s="81"/>
      <c r="S877" s="81"/>
      <c r="T877" s="81"/>
      <c r="U877" s="81"/>
      <c r="V877" s="81"/>
      <c r="W877" s="81"/>
      <c r="X877" s="81"/>
      <c r="Y877" s="81"/>
      <c r="Z877" s="81"/>
      <c r="AA877" s="81"/>
      <c r="AB877" s="81"/>
      <c r="AC877" s="81"/>
      <c r="AD877" s="81"/>
      <c r="AE877" s="81"/>
      <c r="AF877" s="81"/>
    </row>
    <row r="878" spans="1:32">
      <c r="A878" s="76" t="s">
        <v>1612</v>
      </c>
      <c r="B878" s="79">
        <f>B873*2*0.75</f>
        <v>61125</v>
      </c>
      <c r="C878" s="79">
        <f t="shared" ref="C878:I878" si="1457">C873*2*0.75</f>
        <v>69825</v>
      </c>
      <c r="D878" s="79">
        <f t="shared" si="1457"/>
        <v>78525</v>
      </c>
      <c r="E878" s="79">
        <f t="shared" si="1457"/>
        <v>87225</v>
      </c>
      <c r="F878" s="79">
        <f t="shared" si="1457"/>
        <v>94275</v>
      </c>
      <c r="G878" s="79">
        <f t="shared" si="1457"/>
        <v>101250</v>
      </c>
      <c r="H878" s="79">
        <f t="shared" si="1457"/>
        <v>108225</v>
      </c>
      <c r="I878" s="79">
        <f t="shared" si="1457"/>
        <v>115200</v>
      </c>
      <c r="J878" s="80">
        <f t="shared" si="1448"/>
        <v>1528</v>
      </c>
      <c r="K878" s="80">
        <f t="shared" si="1449"/>
        <v>1636</v>
      </c>
      <c r="L878" s="80">
        <f t="shared" si="1450"/>
        <v>1963</v>
      </c>
      <c r="M878" s="80">
        <f t="shared" si="1451"/>
        <v>2268</v>
      </c>
      <c r="N878" s="80">
        <f t="shared" si="1452"/>
        <v>2531</v>
      </c>
      <c r="O878" s="80">
        <f t="shared" si="1453"/>
        <v>2792</v>
      </c>
      <c r="P878" s="81"/>
      <c r="Q878" s="81"/>
      <c r="R878" s="81"/>
      <c r="S878" s="81"/>
      <c r="T878" s="81"/>
      <c r="U878" s="81"/>
      <c r="V878" s="81"/>
      <c r="W878" s="81"/>
      <c r="X878" s="81"/>
      <c r="Y878" s="81"/>
      <c r="Z878" s="81"/>
      <c r="AA878" s="81"/>
      <c r="AB878" s="81"/>
      <c r="AC878" s="81"/>
      <c r="AD878" s="81"/>
      <c r="AE878" s="81"/>
      <c r="AF878" s="81"/>
    </row>
    <row r="879" spans="1:32">
      <c r="A879" s="76" t="s">
        <v>1613</v>
      </c>
      <c r="B879" s="79">
        <f>B873*2*0.8</f>
        <v>65200</v>
      </c>
      <c r="C879" s="79">
        <f t="shared" ref="C879:I879" si="1458">C873*2*0.8</f>
        <v>74480</v>
      </c>
      <c r="D879" s="79">
        <f t="shared" si="1458"/>
        <v>83760</v>
      </c>
      <c r="E879" s="79">
        <f t="shared" si="1458"/>
        <v>93040</v>
      </c>
      <c r="F879" s="79">
        <f t="shared" si="1458"/>
        <v>100560</v>
      </c>
      <c r="G879" s="79">
        <f t="shared" si="1458"/>
        <v>108000</v>
      </c>
      <c r="H879" s="79">
        <f t="shared" si="1458"/>
        <v>115440</v>
      </c>
      <c r="I879" s="79">
        <f t="shared" si="1458"/>
        <v>122880</v>
      </c>
      <c r="J879" s="80">
        <f t="shared" si="1448"/>
        <v>1630</v>
      </c>
      <c r="K879" s="80">
        <f t="shared" si="1449"/>
        <v>1746</v>
      </c>
      <c r="L879" s="80">
        <f t="shared" si="1450"/>
        <v>2094</v>
      </c>
      <c r="M879" s="80">
        <f t="shared" si="1451"/>
        <v>2420</v>
      </c>
      <c r="N879" s="80">
        <f t="shared" si="1452"/>
        <v>2700</v>
      </c>
      <c r="O879" s="80">
        <f t="shared" si="1453"/>
        <v>2979</v>
      </c>
      <c r="P879" s="81"/>
      <c r="Q879" s="81"/>
      <c r="R879" s="81"/>
      <c r="S879" s="81"/>
      <c r="T879" s="81"/>
      <c r="U879" s="81"/>
      <c r="V879" s="81"/>
      <c r="W879" s="81"/>
      <c r="X879" s="81"/>
      <c r="Y879" s="81"/>
      <c r="Z879" s="81"/>
      <c r="AA879" s="81"/>
      <c r="AB879" s="81"/>
      <c r="AC879" s="81"/>
      <c r="AD879" s="81"/>
      <c r="AE879" s="81"/>
      <c r="AF879" s="81"/>
    </row>
    <row r="880" spans="1:32">
      <c r="A880" s="76" t="s">
        <v>1614</v>
      </c>
      <c r="B880" s="79">
        <f>B873*2*0.9</f>
        <v>73350</v>
      </c>
      <c r="C880" s="79">
        <f t="shared" ref="C880:I880" si="1459">C873*2*0.9</f>
        <v>83790</v>
      </c>
      <c r="D880" s="79">
        <f t="shared" si="1459"/>
        <v>94230</v>
      </c>
      <c r="E880" s="79">
        <f t="shared" si="1459"/>
        <v>104670</v>
      </c>
      <c r="F880" s="79">
        <f t="shared" si="1459"/>
        <v>113130</v>
      </c>
      <c r="G880" s="79">
        <f t="shared" si="1459"/>
        <v>121500</v>
      </c>
      <c r="H880" s="79">
        <f t="shared" si="1459"/>
        <v>129870</v>
      </c>
      <c r="I880" s="79">
        <f t="shared" si="1459"/>
        <v>138240</v>
      </c>
      <c r="J880" s="80">
        <f t="shared" si="1448"/>
        <v>1833</v>
      </c>
      <c r="K880" s="80">
        <f t="shared" si="1449"/>
        <v>1964</v>
      </c>
      <c r="L880" s="80">
        <f t="shared" si="1450"/>
        <v>2355</v>
      </c>
      <c r="M880" s="80">
        <f t="shared" si="1451"/>
        <v>2722</v>
      </c>
      <c r="N880" s="80">
        <f t="shared" si="1452"/>
        <v>3037</v>
      </c>
      <c r="O880" s="80">
        <f t="shared" si="1453"/>
        <v>3351</v>
      </c>
      <c r="P880" s="81"/>
      <c r="Q880" s="81"/>
      <c r="R880" s="81"/>
      <c r="S880" s="81"/>
      <c r="T880" s="81"/>
      <c r="U880" s="81"/>
      <c r="V880" s="81"/>
      <c r="W880" s="81"/>
      <c r="X880" s="81"/>
      <c r="Y880" s="81"/>
      <c r="Z880" s="81"/>
      <c r="AA880" s="81"/>
      <c r="AB880" s="81"/>
      <c r="AC880" s="81"/>
      <c r="AD880" s="81"/>
      <c r="AE880" s="81"/>
      <c r="AF880" s="81"/>
    </row>
    <row r="881" spans="1:32">
      <c r="A881" s="76" t="s">
        <v>1615</v>
      </c>
      <c r="B881" s="79">
        <f>B873*2</f>
        <v>81500</v>
      </c>
      <c r="C881" s="79">
        <f t="shared" ref="C881:I881" si="1460">C873*2</f>
        <v>93100</v>
      </c>
      <c r="D881" s="79">
        <f t="shared" si="1460"/>
        <v>104700</v>
      </c>
      <c r="E881" s="79">
        <f t="shared" si="1460"/>
        <v>116300</v>
      </c>
      <c r="F881" s="79">
        <f t="shared" si="1460"/>
        <v>125700</v>
      </c>
      <c r="G881" s="79">
        <f t="shared" si="1460"/>
        <v>135000</v>
      </c>
      <c r="H881" s="79">
        <f t="shared" si="1460"/>
        <v>144300</v>
      </c>
      <c r="I881" s="79">
        <f t="shared" si="1460"/>
        <v>153600</v>
      </c>
      <c r="J881" s="80">
        <f>J873*2</f>
        <v>2036</v>
      </c>
      <c r="K881" s="80">
        <f t="shared" ref="K881:O881" si="1461">K873*2</f>
        <v>2182</v>
      </c>
      <c r="L881" s="80">
        <f t="shared" si="1461"/>
        <v>2616</v>
      </c>
      <c r="M881" s="80">
        <f t="shared" si="1461"/>
        <v>3024</v>
      </c>
      <c r="N881" s="80">
        <f t="shared" si="1461"/>
        <v>3374</v>
      </c>
      <c r="O881" s="80">
        <f t="shared" si="1461"/>
        <v>3722</v>
      </c>
      <c r="P881" s="81"/>
      <c r="Q881" s="81"/>
      <c r="R881" s="81"/>
      <c r="S881" s="81"/>
      <c r="T881" s="81"/>
      <c r="U881" s="81"/>
      <c r="V881" s="81"/>
      <c r="W881" s="81"/>
      <c r="X881" s="81"/>
      <c r="Y881" s="81"/>
      <c r="Z881" s="81"/>
      <c r="AA881" s="81"/>
      <c r="AB881" s="81"/>
      <c r="AC881" s="81"/>
      <c r="AD881" s="81"/>
      <c r="AE881" s="81"/>
      <c r="AF881" s="81"/>
    </row>
    <row r="882" spans="1:32">
      <c r="A882" s="76" t="s">
        <v>1616</v>
      </c>
      <c r="B882" s="79">
        <f>B873*2*1.1</f>
        <v>89650</v>
      </c>
      <c r="C882" s="79">
        <f t="shared" ref="C882:I882" si="1462">C873*2*1.1</f>
        <v>102410.00000000001</v>
      </c>
      <c r="D882" s="79">
        <f t="shared" si="1462"/>
        <v>115170.00000000001</v>
      </c>
      <c r="E882" s="79">
        <f t="shared" si="1462"/>
        <v>127930.00000000001</v>
      </c>
      <c r="F882" s="79">
        <f t="shared" si="1462"/>
        <v>138270</v>
      </c>
      <c r="G882" s="79">
        <f t="shared" si="1462"/>
        <v>148500</v>
      </c>
      <c r="H882" s="79">
        <f t="shared" si="1462"/>
        <v>158730</v>
      </c>
      <c r="I882" s="79">
        <f t="shared" si="1462"/>
        <v>168960</v>
      </c>
      <c r="J882" s="80">
        <f t="shared" ref="J882:J890" si="1463">TRUNC(B882/12*0.3)</f>
        <v>2241</v>
      </c>
      <c r="K882" s="80">
        <f t="shared" ref="K882:K890" si="1464">TRUNC((B882+C882)/2/12*0.3)</f>
        <v>2400</v>
      </c>
      <c r="L882" s="80">
        <f t="shared" ref="L882:L890" si="1465">TRUNC((D882)/12*0.3)</f>
        <v>2879</v>
      </c>
      <c r="M882" s="80">
        <f t="shared" ref="M882:M890" si="1466">TRUNC(((E882+F882)/2)/12*0.3)</f>
        <v>3327</v>
      </c>
      <c r="N882" s="80">
        <f t="shared" ref="N882:N890" si="1467">TRUNC(G882/12*0.3)</f>
        <v>3712</v>
      </c>
      <c r="O882" s="80">
        <f t="shared" ref="O882:O890" si="1468">TRUNC(((H882+I882)/2)/12*0.3)</f>
        <v>4096</v>
      </c>
      <c r="P882" s="81"/>
      <c r="Q882" s="81"/>
      <c r="R882" s="81"/>
      <c r="S882" s="81"/>
      <c r="T882" s="81"/>
      <c r="U882" s="81"/>
      <c r="V882" s="81"/>
      <c r="W882" s="81"/>
      <c r="X882" s="81"/>
      <c r="Y882" s="81"/>
      <c r="Z882" s="81"/>
      <c r="AA882" s="81"/>
      <c r="AB882" s="81"/>
      <c r="AC882" s="81"/>
      <c r="AD882" s="81"/>
      <c r="AE882" s="81"/>
      <c r="AF882" s="81"/>
    </row>
    <row r="883" spans="1:32">
      <c r="A883" s="76" t="s">
        <v>1617</v>
      </c>
      <c r="B883" s="79">
        <f>B873*2*1.2</f>
        <v>97800</v>
      </c>
      <c r="C883" s="79">
        <f t="shared" ref="C883:I883" si="1469">C873*2*1.2</f>
        <v>111720</v>
      </c>
      <c r="D883" s="79">
        <f t="shared" si="1469"/>
        <v>125640</v>
      </c>
      <c r="E883" s="79">
        <f t="shared" si="1469"/>
        <v>139560</v>
      </c>
      <c r="F883" s="79">
        <f t="shared" si="1469"/>
        <v>150840</v>
      </c>
      <c r="G883" s="79">
        <f t="shared" si="1469"/>
        <v>162000</v>
      </c>
      <c r="H883" s="79">
        <f t="shared" si="1469"/>
        <v>173160</v>
      </c>
      <c r="I883" s="79">
        <f t="shared" si="1469"/>
        <v>184320</v>
      </c>
      <c r="J883" s="80">
        <f t="shared" si="1463"/>
        <v>2445</v>
      </c>
      <c r="K883" s="80">
        <f t="shared" si="1464"/>
        <v>2619</v>
      </c>
      <c r="L883" s="80">
        <f t="shared" si="1465"/>
        <v>3141</v>
      </c>
      <c r="M883" s="80">
        <f t="shared" si="1466"/>
        <v>3630</v>
      </c>
      <c r="N883" s="80">
        <f t="shared" si="1467"/>
        <v>4050</v>
      </c>
      <c r="O883" s="80">
        <f t="shared" si="1468"/>
        <v>4468</v>
      </c>
      <c r="P883" s="81"/>
      <c r="Q883" s="81"/>
      <c r="R883" s="81"/>
      <c r="S883" s="81"/>
      <c r="T883" s="81"/>
      <c r="U883" s="81"/>
      <c r="V883" s="81"/>
      <c r="W883" s="81"/>
      <c r="X883" s="81"/>
      <c r="Y883" s="81"/>
      <c r="Z883" s="81"/>
      <c r="AA883" s="81"/>
      <c r="AB883" s="81"/>
      <c r="AC883" s="81"/>
      <c r="AD883" s="81"/>
      <c r="AE883" s="81"/>
      <c r="AF883" s="81"/>
    </row>
    <row r="884" spans="1:32">
      <c r="A884" s="76" t="s">
        <v>1618</v>
      </c>
      <c r="B884" s="79">
        <f>B891*2*0.15</f>
        <v>7500</v>
      </c>
      <c r="C884" s="79">
        <f>C891*2*0.15</f>
        <v>8565</v>
      </c>
      <c r="D884" s="79">
        <f>D891*2*0.15</f>
        <v>9630</v>
      </c>
      <c r="E884" s="79">
        <f>E891*2*0.15</f>
        <v>10695</v>
      </c>
      <c r="F884" s="79">
        <f>F891*2*0.15</f>
        <v>11565</v>
      </c>
      <c r="G884" s="79">
        <f t="shared" ref="G884:I884" si="1470">G891*2*0.15</f>
        <v>12420</v>
      </c>
      <c r="H884" s="79">
        <f t="shared" si="1470"/>
        <v>13275</v>
      </c>
      <c r="I884" s="79">
        <f t="shared" si="1470"/>
        <v>14130</v>
      </c>
      <c r="J884" s="80">
        <f t="shared" si="1463"/>
        <v>187</v>
      </c>
      <c r="K884" s="80">
        <f t="shared" si="1464"/>
        <v>200</v>
      </c>
      <c r="L884" s="80">
        <f t="shared" si="1465"/>
        <v>240</v>
      </c>
      <c r="M884" s="80">
        <f t="shared" si="1466"/>
        <v>278</v>
      </c>
      <c r="N884" s="80">
        <f t="shared" si="1467"/>
        <v>310</v>
      </c>
      <c r="O884" s="80">
        <f t="shared" si="1468"/>
        <v>342</v>
      </c>
      <c r="P884" s="81"/>
      <c r="Q884" s="81"/>
      <c r="R884" s="81"/>
      <c r="S884" s="81"/>
      <c r="T884" s="81"/>
      <c r="U884" s="81"/>
      <c r="V884" s="81"/>
      <c r="W884" s="81"/>
      <c r="X884" s="81"/>
      <c r="Y884" s="81"/>
      <c r="Z884" s="81"/>
      <c r="AA884" s="81"/>
      <c r="AB884" s="81"/>
      <c r="AC884" s="81"/>
      <c r="AD884" s="81"/>
      <c r="AE884" s="81"/>
      <c r="AF884" s="81"/>
    </row>
    <row r="885" spans="1:32">
      <c r="A885" s="76" t="s">
        <v>1619</v>
      </c>
      <c r="B885" s="79">
        <f>B891*2*0.2</f>
        <v>10000</v>
      </c>
      <c r="C885" s="79">
        <f t="shared" ref="C885:I885" si="1471">C891*2*0.2</f>
        <v>11420</v>
      </c>
      <c r="D885" s="79">
        <f t="shared" si="1471"/>
        <v>12840</v>
      </c>
      <c r="E885" s="79">
        <f t="shared" si="1471"/>
        <v>14260</v>
      </c>
      <c r="F885" s="79">
        <f t="shared" si="1471"/>
        <v>15420</v>
      </c>
      <c r="G885" s="79">
        <f t="shared" si="1471"/>
        <v>16560</v>
      </c>
      <c r="H885" s="79">
        <f t="shared" si="1471"/>
        <v>17700</v>
      </c>
      <c r="I885" s="79">
        <f t="shared" si="1471"/>
        <v>18840</v>
      </c>
      <c r="J885" s="80">
        <f t="shared" si="1463"/>
        <v>250</v>
      </c>
      <c r="K885" s="80">
        <f t="shared" si="1464"/>
        <v>267</v>
      </c>
      <c r="L885" s="80">
        <f t="shared" si="1465"/>
        <v>321</v>
      </c>
      <c r="M885" s="80">
        <f t="shared" si="1466"/>
        <v>371</v>
      </c>
      <c r="N885" s="80">
        <f t="shared" si="1467"/>
        <v>414</v>
      </c>
      <c r="O885" s="80">
        <f t="shared" si="1468"/>
        <v>456</v>
      </c>
      <c r="P885" s="81"/>
      <c r="Q885" s="81"/>
      <c r="R885" s="81"/>
      <c r="S885" s="81"/>
      <c r="T885" s="81"/>
      <c r="U885" s="81"/>
      <c r="V885" s="81"/>
      <c r="W885" s="81"/>
      <c r="X885" s="81"/>
      <c r="Y885" s="81"/>
      <c r="Z885" s="81"/>
      <c r="AA885" s="81"/>
      <c r="AB885" s="81"/>
      <c r="AC885" s="81"/>
      <c r="AD885" s="81"/>
      <c r="AE885" s="81"/>
      <c r="AF885" s="81"/>
    </row>
    <row r="886" spans="1:32">
      <c r="A886" s="76" t="s">
        <v>1620</v>
      </c>
      <c r="B886" s="79">
        <f>B891*2*0.25</f>
        <v>12500</v>
      </c>
      <c r="C886" s="79">
        <f t="shared" ref="C886:I886" si="1472">C891*2*0.25</f>
        <v>14275</v>
      </c>
      <c r="D886" s="79">
        <f t="shared" si="1472"/>
        <v>16050</v>
      </c>
      <c r="E886" s="79">
        <f t="shared" si="1472"/>
        <v>17825</v>
      </c>
      <c r="F886" s="79">
        <f t="shared" si="1472"/>
        <v>19275</v>
      </c>
      <c r="G886" s="79">
        <f t="shared" si="1472"/>
        <v>20700</v>
      </c>
      <c r="H886" s="79">
        <f t="shared" si="1472"/>
        <v>22125</v>
      </c>
      <c r="I886" s="79">
        <f t="shared" si="1472"/>
        <v>23550</v>
      </c>
      <c r="J886" s="80">
        <f t="shared" si="1463"/>
        <v>312</v>
      </c>
      <c r="K886" s="80">
        <f t="shared" si="1464"/>
        <v>334</v>
      </c>
      <c r="L886" s="80">
        <f t="shared" si="1465"/>
        <v>401</v>
      </c>
      <c r="M886" s="80">
        <f t="shared" si="1466"/>
        <v>463</v>
      </c>
      <c r="N886" s="80">
        <f t="shared" si="1467"/>
        <v>517</v>
      </c>
      <c r="O886" s="80">
        <f t="shared" si="1468"/>
        <v>570</v>
      </c>
      <c r="P886" s="81"/>
      <c r="Q886" s="81"/>
      <c r="R886" s="81"/>
      <c r="S886" s="81"/>
      <c r="T886" s="81"/>
      <c r="U886" s="81"/>
      <c r="V886" s="81"/>
      <c r="W886" s="81"/>
      <c r="X886" s="81"/>
      <c r="Y886" s="81"/>
      <c r="Z886" s="81"/>
      <c r="AA886" s="81"/>
      <c r="AB886" s="81"/>
      <c r="AC886" s="81"/>
      <c r="AD886" s="81"/>
      <c r="AE886" s="81"/>
      <c r="AF886" s="81"/>
    </row>
    <row r="887" spans="1:32">
      <c r="A887" s="76" t="s">
        <v>1621</v>
      </c>
      <c r="B887" s="79">
        <f>B891*2*0.3</f>
        <v>15000</v>
      </c>
      <c r="C887" s="79">
        <f t="shared" ref="C887:I887" si="1473">C891*2*0.3</f>
        <v>17130</v>
      </c>
      <c r="D887" s="79">
        <f t="shared" si="1473"/>
        <v>19260</v>
      </c>
      <c r="E887" s="79">
        <f t="shared" si="1473"/>
        <v>21390</v>
      </c>
      <c r="F887" s="79">
        <f t="shared" si="1473"/>
        <v>23130</v>
      </c>
      <c r="G887" s="79">
        <f t="shared" si="1473"/>
        <v>24840</v>
      </c>
      <c r="H887" s="79">
        <f t="shared" si="1473"/>
        <v>26550</v>
      </c>
      <c r="I887" s="79">
        <f t="shared" si="1473"/>
        <v>28260</v>
      </c>
      <c r="J887" s="80">
        <f t="shared" si="1463"/>
        <v>375</v>
      </c>
      <c r="K887" s="80">
        <f t="shared" si="1464"/>
        <v>401</v>
      </c>
      <c r="L887" s="80">
        <f t="shared" si="1465"/>
        <v>481</v>
      </c>
      <c r="M887" s="80">
        <f t="shared" si="1466"/>
        <v>556</v>
      </c>
      <c r="N887" s="80">
        <f t="shared" si="1467"/>
        <v>621</v>
      </c>
      <c r="O887" s="80">
        <f t="shared" si="1468"/>
        <v>685</v>
      </c>
      <c r="P887" s="81"/>
      <c r="Q887" s="81"/>
      <c r="R887" s="81"/>
      <c r="S887" s="81"/>
      <c r="T887" s="81"/>
      <c r="U887" s="81"/>
      <c r="V887" s="81"/>
      <c r="W887" s="81"/>
      <c r="X887" s="81"/>
      <c r="Y887" s="81"/>
      <c r="Z887" s="81"/>
      <c r="AA887" s="81"/>
      <c r="AB887" s="81"/>
      <c r="AC887" s="81"/>
      <c r="AD887" s="81"/>
      <c r="AE887" s="81"/>
      <c r="AF887" s="81"/>
    </row>
    <row r="888" spans="1:32">
      <c r="A888" s="76" t="s">
        <v>1622</v>
      </c>
      <c r="B888" s="79">
        <f>B891*2*0.35</f>
        <v>17500</v>
      </c>
      <c r="C888" s="79">
        <f t="shared" ref="C888:I888" si="1474">C891*2*0.35</f>
        <v>19985</v>
      </c>
      <c r="D888" s="79">
        <f t="shared" si="1474"/>
        <v>22470</v>
      </c>
      <c r="E888" s="79">
        <f t="shared" si="1474"/>
        <v>24955</v>
      </c>
      <c r="F888" s="79">
        <f t="shared" si="1474"/>
        <v>26985</v>
      </c>
      <c r="G888" s="79">
        <f t="shared" si="1474"/>
        <v>28979.999999999996</v>
      </c>
      <c r="H888" s="79">
        <f t="shared" si="1474"/>
        <v>30974.999999999996</v>
      </c>
      <c r="I888" s="79">
        <f t="shared" si="1474"/>
        <v>32970</v>
      </c>
      <c r="J888" s="80">
        <f t="shared" si="1463"/>
        <v>437</v>
      </c>
      <c r="K888" s="80">
        <f t="shared" si="1464"/>
        <v>468</v>
      </c>
      <c r="L888" s="80">
        <f t="shared" si="1465"/>
        <v>561</v>
      </c>
      <c r="M888" s="80">
        <f t="shared" si="1466"/>
        <v>649</v>
      </c>
      <c r="N888" s="80">
        <f t="shared" si="1467"/>
        <v>724</v>
      </c>
      <c r="O888" s="80">
        <f t="shared" si="1468"/>
        <v>799</v>
      </c>
      <c r="P888" s="81"/>
      <c r="Q888" s="81"/>
      <c r="R888" s="81"/>
      <c r="S888" s="81"/>
      <c r="T888" s="81"/>
      <c r="U888" s="81"/>
      <c r="V888" s="81"/>
      <c r="W888" s="81"/>
      <c r="X888" s="81"/>
      <c r="Y888" s="81"/>
      <c r="Z888" s="81"/>
      <c r="AA888" s="81"/>
      <c r="AB888" s="81"/>
      <c r="AC888" s="81"/>
      <c r="AD888" s="81"/>
      <c r="AE888" s="81"/>
      <c r="AF888" s="81"/>
    </row>
    <row r="889" spans="1:32">
      <c r="A889" s="76" t="s">
        <v>1623</v>
      </c>
      <c r="B889" s="79">
        <f>B891*2*0.4</f>
        <v>20000</v>
      </c>
      <c r="C889" s="79">
        <f t="shared" ref="C889:I889" si="1475">C891*2*0.4</f>
        <v>22840</v>
      </c>
      <c r="D889" s="79">
        <f t="shared" si="1475"/>
        <v>25680</v>
      </c>
      <c r="E889" s="79">
        <f t="shared" si="1475"/>
        <v>28520</v>
      </c>
      <c r="F889" s="79">
        <f t="shared" si="1475"/>
        <v>30840</v>
      </c>
      <c r="G889" s="79">
        <f t="shared" si="1475"/>
        <v>33120</v>
      </c>
      <c r="H889" s="79">
        <f t="shared" si="1475"/>
        <v>35400</v>
      </c>
      <c r="I889" s="79">
        <f t="shared" si="1475"/>
        <v>37680</v>
      </c>
      <c r="J889" s="80">
        <f t="shared" si="1463"/>
        <v>500</v>
      </c>
      <c r="K889" s="80">
        <f t="shared" si="1464"/>
        <v>535</v>
      </c>
      <c r="L889" s="80">
        <f t="shared" si="1465"/>
        <v>642</v>
      </c>
      <c r="M889" s="80">
        <f t="shared" si="1466"/>
        <v>742</v>
      </c>
      <c r="N889" s="80">
        <f t="shared" si="1467"/>
        <v>828</v>
      </c>
      <c r="O889" s="80">
        <f t="shared" si="1468"/>
        <v>913</v>
      </c>
      <c r="P889" s="81"/>
      <c r="Q889" s="81"/>
      <c r="R889" s="81"/>
      <c r="S889" s="81"/>
      <c r="T889" s="81"/>
      <c r="U889" s="81"/>
      <c r="V889" s="81"/>
      <c r="W889" s="81"/>
      <c r="X889" s="81"/>
      <c r="Y889" s="81"/>
      <c r="Z889" s="81"/>
      <c r="AA889" s="81"/>
      <c r="AB889" s="81"/>
      <c r="AC889" s="81"/>
      <c r="AD889" s="81"/>
      <c r="AE889" s="81"/>
      <c r="AF889" s="81"/>
    </row>
    <row r="890" spans="1:32">
      <c r="A890" s="76" t="s">
        <v>1624</v>
      </c>
      <c r="B890" s="79">
        <f>B891*2*0.45</f>
        <v>22500</v>
      </c>
      <c r="C890" s="79">
        <f t="shared" ref="C890:I890" si="1476">C891*2*0.45</f>
        <v>25695</v>
      </c>
      <c r="D890" s="79">
        <f t="shared" si="1476"/>
        <v>28890</v>
      </c>
      <c r="E890" s="79">
        <f t="shared" si="1476"/>
        <v>32085</v>
      </c>
      <c r="F890" s="79">
        <f t="shared" si="1476"/>
        <v>34695</v>
      </c>
      <c r="G890" s="79">
        <f t="shared" si="1476"/>
        <v>37260</v>
      </c>
      <c r="H890" s="79">
        <f t="shared" si="1476"/>
        <v>39825</v>
      </c>
      <c r="I890" s="79">
        <f t="shared" si="1476"/>
        <v>42390</v>
      </c>
      <c r="J890" s="80">
        <f t="shared" si="1463"/>
        <v>562</v>
      </c>
      <c r="K890" s="80">
        <f t="shared" si="1464"/>
        <v>602</v>
      </c>
      <c r="L890" s="80">
        <f t="shared" si="1465"/>
        <v>722</v>
      </c>
      <c r="M890" s="80">
        <f t="shared" si="1466"/>
        <v>834</v>
      </c>
      <c r="N890" s="80">
        <f t="shared" si="1467"/>
        <v>931</v>
      </c>
      <c r="O890" s="80">
        <f t="shared" si="1468"/>
        <v>1027</v>
      </c>
      <c r="P890" s="81"/>
      <c r="Q890" s="81"/>
      <c r="R890" s="81"/>
      <c r="S890" s="81"/>
      <c r="T890" s="81"/>
      <c r="U890" s="81"/>
      <c r="V890" s="81"/>
      <c r="W890" s="81"/>
      <c r="X890" s="81"/>
      <c r="Y890" s="81"/>
      <c r="Z890" s="81"/>
      <c r="AA890" s="81"/>
      <c r="AB890" s="81"/>
      <c r="AC890" s="81"/>
      <c r="AD890" s="81"/>
      <c r="AE890" s="81"/>
      <c r="AF890" s="81"/>
    </row>
    <row r="891" spans="1:32">
      <c r="A891" s="82" t="s">
        <v>1625</v>
      </c>
      <c r="B891" s="84">
        <f>'MTSP 50% Income Limits '!B51</f>
        <v>25000</v>
      </c>
      <c r="C891" s="84">
        <f>'MTSP 50% Income Limits '!C51</f>
        <v>28550</v>
      </c>
      <c r="D891" s="84">
        <f>'MTSP 50% Income Limits '!D51</f>
        <v>32100</v>
      </c>
      <c r="E891" s="84">
        <f>'MTSP 50% Income Limits '!E51</f>
        <v>35650</v>
      </c>
      <c r="F891" s="84">
        <f>'MTSP 50% Income Limits '!F51</f>
        <v>38550</v>
      </c>
      <c r="G891" s="84">
        <f>'MTSP 50% Income Limits '!G51</f>
        <v>41400</v>
      </c>
      <c r="H891" s="84">
        <f>'MTSP 50% Income Limits '!H51</f>
        <v>44250</v>
      </c>
      <c r="I891" s="84">
        <f>'MTSP 50% Income Limits '!I51</f>
        <v>47100</v>
      </c>
      <c r="J891" s="83">
        <f>TRUNC(B891/12*0.3)</f>
        <v>625</v>
      </c>
      <c r="K891" s="83">
        <f>TRUNC((B891+C891)/2/12*0.3)</f>
        <v>669</v>
      </c>
      <c r="L891" s="83">
        <f>TRUNC((D891)/12*0.3)</f>
        <v>802</v>
      </c>
      <c r="M891" s="83">
        <f>TRUNC(((E891+F891)/2)/12*0.3)</f>
        <v>927</v>
      </c>
      <c r="N891" s="83">
        <f>TRUNC(G891/12*0.3)</f>
        <v>1035</v>
      </c>
      <c r="O891" s="83">
        <f>TRUNC(((H891+I891)/2)/12*0.3)</f>
        <v>1141</v>
      </c>
      <c r="P891" s="81"/>
      <c r="Q891" s="81"/>
      <c r="R891" s="81"/>
      <c r="S891" s="81"/>
      <c r="T891" s="81"/>
      <c r="U891" s="81"/>
      <c r="V891" s="81"/>
      <c r="W891" s="81"/>
      <c r="X891" s="81"/>
      <c r="Y891" s="81"/>
      <c r="Z891" s="81"/>
      <c r="AA891" s="81"/>
      <c r="AB891" s="81"/>
      <c r="AC891" s="81"/>
      <c r="AD891" s="81"/>
      <c r="AE891" s="81"/>
      <c r="AF891" s="81"/>
    </row>
    <row r="892" spans="1:32">
      <c r="A892" s="76" t="s">
        <v>1626</v>
      </c>
      <c r="B892" s="79">
        <f>B891*2*0.55</f>
        <v>27500.000000000004</v>
      </c>
      <c r="C892" s="79">
        <f t="shared" ref="C892:I892" si="1477">C891*2*0.55</f>
        <v>31405.000000000004</v>
      </c>
      <c r="D892" s="79">
        <f t="shared" si="1477"/>
        <v>35310</v>
      </c>
      <c r="E892" s="79">
        <f t="shared" si="1477"/>
        <v>39215</v>
      </c>
      <c r="F892" s="79">
        <f t="shared" si="1477"/>
        <v>42405</v>
      </c>
      <c r="G892" s="79">
        <f t="shared" si="1477"/>
        <v>45540.000000000007</v>
      </c>
      <c r="H892" s="79">
        <f t="shared" si="1477"/>
        <v>48675.000000000007</v>
      </c>
      <c r="I892" s="79">
        <f t="shared" si="1477"/>
        <v>51810.000000000007</v>
      </c>
      <c r="J892" s="80">
        <f t="shared" ref="J892:J898" si="1478">TRUNC(B892/12*0.3)</f>
        <v>687</v>
      </c>
      <c r="K892" s="80">
        <f t="shared" ref="K892:K898" si="1479">TRUNC((B892+C892)/2/12*0.3)</f>
        <v>736</v>
      </c>
      <c r="L892" s="80">
        <f t="shared" ref="L892:L898" si="1480">TRUNC((D892)/12*0.3)</f>
        <v>882</v>
      </c>
      <c r="M892" s="80">
        <f t="shared" ref="M892:M898" si="1481">TRUNC(((E892+F892)/2)/12*0.3)</f>
        <v>1020</v>
      </c>
      <c r="N892" s="80">
        <f t="shared" ref="N892:N898" si="1482">TRUNC(G892/12*0.3)</f>
        <v>1138</v>
      </c>
      <c r="O892" s="80">
        <f t="shared" ref="O892:O898" si="1483">TRUNC(((H892+I892)/2)/12*0.3)</f>
        <v>1256</v>
      </c>
      <c r="P892" s="81"/>
      <c r="Q892" s="81"/>
      <c r="R892" s="81"/>
      <c r="S892" s="81"/>
      <c r="T892" s="81"/>
      <c r="U892" s="81"/>
      <c r="V892" s="81"/>
      <c r="W892" s="81"/>
      <c r="X892" s="81"/>
      <c r="Y892" s="81"/>
      <c r="Z892" s="81"/>
      <c r="AA892" s="81"/>
      <c r="AB892" s="81"/>
      <c r="AC892" s="81"/>
      <c r="AD892" s="81"/>
      <c r="AE892" s="81"/>
      <c r="AF892" s="81"/>
    </row>
    <row r="893" spans="1:32">
      <c r="A893" s="76" t="s">
        <v>1627</v>
      </c>
      <c r="B893" s="79">
        <f>B891*2*0.6</f>
        <v>30000</v>
      </c>
      <c r="C893" s="79">
        <f t="shared" ref="C893:I893" si="1484">C891*2*0.6</f>
        <v>34260</v>
      </c>
      <c r="D893" s="79">
        <f t="shared" si="1484"/>
        <v>38520</v>
      </c>
      <c r="E893" s="79">
        <f t="shared" si="1484"/>
        <v>42780</v>
      </c>
      <c r="F893" s="79">
        <f t="shared" si="1484"/>
        <v>46260</v>
      </c>
      <c r="G893" s="79">
        <f t="shared" si="1484"/>
        <v>49680</v>
      </c>
      <c r="H893" s="79">
        <f t="shared" si="1484"/>
        <v>53100</v>
      </c>
      <c r="I893" s="79">
        <f t="shared" si="1484"/>
        <v>56520</v>
      </c>
      <c r="J893" s="80">
        <f t="shared" si="1478"/>
        <v>750</v>
      </c>
      <c r="K893" s="80">
        <f t="shared" si="1479"/>
        <v>803</v>
      </c>
      <c r="L893" s="80">
        <f t="shared" si="1480"/>
        <v>963</v>
      </c>
      <c r="M893" s="80">
        <f t="shared" si="1481"/>
        <v>1113</v>
      </c>
      <c r="N893" s="80">
        <f t="shared" si="1482"/>
        <v>1242</v>
      </c>
      <c r="O893" s="80">
        <f t="shared" si="1483"/>
        <v>1370</v>
      </c>
      <c r="P893" s="81"/>
      <c r="Q893" s="81"/>
      <c r="R893" s="81"/>
      <c r="S893" s="81"/>
      <c r="T893" s="81"/>
      <c r="U893" s="81"/>
      <c r="V893" s="81"/>
      <c r="W893" s="81"/>
      <c r="X893" s="81"/>
      <c r="Y893" s="81"/>
      <c r="Z893" s="81"/>
      <c r="AA893" s="81"/>
      <c r="AB893" s="81"/>
      <c r="AC893" s="81"/>
      <c r="AD893" s="81"/>
      <c r="AE893" s="81"/>
      <c r="AF893" s="81"/>
    </row>
    <row r="894" spans="1:32">
      <c r="A894" s="76" t="s">
        <v>1628</v>
      </c>
      <c r="B894" s="79">
        <f>B891*2*0.65</f>
        <v>32500</v>
      </c>
      <c r="C894" s="79">
        <f t="shared" ref="C894:I894" si="1485">C891*2*0.65</f>
        <v>37115</v>
      </c>
      <c r="D894" s="79">
        <f t="shared" si="1485"/>
        <v>41730</v>
      </c>
      <c r="E894" s="79">
        <f t="shared" si="1485"/>
        <v>46345</v>
      </c>
      <c r="F894" s="79">
        <f t="shared" si="1485"/>
        <v>50115</v>
      </c>
      <c r="G894" s="79">
        <f t="shared" si="1485"/>
        <v>53820</v>
      </c>
      <c r="H894" s="79">
        <f t="shared" si="1485"/>
        <v>57525</v>
      </c>
      <c r="I894" s="79">
        <f t="shared" si="1485"/>
        <v>61230</v>
      </c>
      <c r="J894" s="80">
        <f t="shared" si="1478"/>
        <v>812</v>
      </c>
      <c r="K894" s="80">
        <f t="shared" si="1479"/>
        <v>870</v>
      </c>
      <c r="L894" s="80">
        <f t="shared" si="1480"/>
        <v>1043</v>
      </c>
      <c r="M894" s="80">
        <f t="shared" si="1481"/>
        <v>1205</v>
      </c>
      <c r="N894" s="80">
        <f t="shared" si="1482"/>
        <v>1345</v>
      </c>
      <c r="O894" s="80">
        <f t="shared" si="1483"/>
        <v>1484</v>
      </c>
      <c r="P894" s="81"/>
      <c r="Q894" s="81"/>
      <c r="R894" s="81"/>
      <c r="S894" s="81"/>
      <c r="T894" s="81"/>
      <c r="U894" s="81"/>
      <c r="V894" s="81"/>
      <c r="W894" s="81"/>
      <c r="X894" s="81"/>
      <c r="Y894" s="81"/>
      <c r="Z894" s="81"/>
      <c r="AA894" s="81"/>
      <c r="AB894" s="81"/>
      <c r="AC894" s="81"/>
      <c r="AD894" s="81"/>
      <c r="AE894" s="81"/>
      <c r="AF894" s="81"/>
    </row>
    <row r="895" spans="1:32">
      <c r="A895" s="76" t="s">
        <v>1629</v>
      </c>
      <c r="B895" s="79">
        <f>B891*2*0.7</f>
        <v>35000</v>
      </c>
      <c r="C895" s="79">
        <f t="shared" ref="C895:I895" si="1486">C891*2*0.7</f>
        <v>39970</v>
      </c>
      <c r="D895" s="79">
        <f t="shared" si="1486"/>
        <v>44940</v>
      </c>
      <c r="E895" s="79">
        <f t="shared" si="1486"/>
        <v>49910</v>
      </c>
      <c r="F895" s="79">
        <f t="shared" si="1486"/>
        <v>53970</v>
      </c>
      <c r="G895" s="79">
        <f t="shared" si="1486"/>
        <v>57959.999999999993</v>
      </c>
      <c r="H895" s="79">
        <f t="shared" si="1486"/>
        <v>61949.999999999993</v>
      </c>
      <c r="I895" s="79">
        <f t="shared" si="1486"/>
        <v>65940</v>
      </c>
      <c r="J895" s="80">
        <f t="shared" si="1478"/>
        <v>875</v>
      </c>
      <c r="K895" s="80">
        <f t="shared" si="1479"/>
        <v>937</v>
      </c>
      <c r="L895" s="80">
        <f t="shared" si="1480"/>
        <v>1123</v>
      </c>
      <c r="M895" s="80">
        <f t="shared" si="1481"/>
        <v>1298</v>
      </c>
      <c r="N895" s="80">
        <f t="shared" si="1482"/>
        <v>1449</v>
      </c>
      <c r="O895" s="80">
        <f t="shared" si="1483"/>
        <v>1598</v>
      </c>
      <c r="P895" s="81"/>
      <c r="Q895" s="81"/>
      <c r="R895" s="81"/>
      <c r="S895" s="81"/>
      <c r="T895" s="81"/>
      <c r="U895" s="81"/>
      <c r="V895" s="81"/>
      <c r="W895" s="81"/>
      <c r="X895" s="81"/>
      <c r="Y895" s="81"/>
      <c r="Z895" s="81"/>
      <c r="AA895" s="81"/>
      <c r="AB895" s="81"/>
      <c r="AC895" s="81"/>
      <c r="AD895" s="81"/>
      <c r="AE895" s="81"/>
      <c r="AF895" s="81"/>
    </row>
    <row r="896" spans="1:32">
      <c r="A896" s="76" t="s">
        <v>1630</v>
      </c>
      <c r="B896" s="79">
        <f>B891*2*0.75</f>
        <v>37500</v>
      </c>
      <c r="C896" s="79">
        <f t="shared" ref="C896:I896" si="1487">C891*2*0.75</f>
        <v>42825</v>
      </c>
      <c r="D896" s="79">
        <f t="shared" si="1487"/>
        <v>48150</v>
      </c>
      <c r="E896" s="79">
        <f t="shared" si="1487"/>
        <v>53475</v>
      </c>
      <c r="F896" s="79">
        <f t="shared" si="1487"/>
        <v>57825</v>
      </c>
      <c r="G896" s="79">
        <f t="shared" si="1487"/>
        <v>62100</v>
      </c>
      <c r="H896" s="79">
        <f t="shared" si="1487"/>
        <v>66375</v>
      </c>
      <c r="I896" s="79">
        <f t="shared" si="1487"/>
        <v>70650</v>
      </c>
      <c r="J896" s="80">
        <f t="shared" si="1478"/>
        <v>937</v>
      </c>
      <c r="K896" s="80">
        <f t="shared" si="1479"/>
        <v>1004</v>
      </c>
      <c r="L896" s="80">
        <f t="shared" si="1480"/>
        <v>1203</v>
      </c>
      <c r="M896" s="80">
        <f t="shared" si="1481"/>
        <v>1391</v>
      </c>
      <c r="N896" s="80">
        <f t="shared" si="1482"/>
        <v>1552</v>
      </c>
      <c r="O896" s="80">
        <f t="shared" si="1483"/>
        <v>1712</v>
      </c>
      <c r="P896" s="81"/>
      <c r="Q896" s="81"/>
      <c r="R896" s="81"/>
      <c r="S896" s="81"/>
      <c r="T896" s="81"/>
      <c r="U896" s="81"/>
      <c r="V896" s="81"/>
      <c r="W896" s="81"/>
      <c r="X896" s="81"/>
      <c r="Y896" s="81"/>
      <c r="Z896" s="81"/>
      <c r="AA896" s="81"/>
      <c r="AB896" s="81"/>
      <c r="AC896" s="81"/>
      <c r="AD896" s="81"/>
      <c r="AE896" s="81"/>
      <c r="AF896" s="81"/>
    </row>
    <row r="897" spans="1:32">
      <c r="A897" s="76" t="s">
        <v>1631</v>
      </c>
      <c r="B897" s="79">
        <f>B891*2*0.8</f>
        <v>40000</v>
      </c>
      <c r="C897" s="79">
        <f t="shared" ref="C897:I897" si="1488">C891*2*0.8</f>
        <v>45680</v>
      </c>
      <c r="D897" s="79">
        <f t="shared" si="1488"/>
        <v>51360</v>
      </c>
      <c r="E897" s="79">
        <f t="shared" si="1488"/>
        <v>57040</v>
      </c>
      <c r="F897" s="79">
        <f t="shared" si="1488"/>
        <v>61680</v>
      </c>
      <c r="G897" s="79">
        <f t="shared" si="1488"/>
        <v>66240</v>
      </c>
      <c r="H897" s="79">
        <f t="shared" si="1488"/>
        <v>70800</v>
      </c>
      <c r="I897" s="79">
        <f t="shared" si="1488"/>
        <v>75360</v>
      </c>
      <c r="J897" s="80">
        <f t="shared" si="1478"/>
        <v>1000</v>
      </c>
      <c r="K897" s="80">
        <f t="shared" si="1479"/>
        <v>1071</v>
      </c>
      <c r="L897" s="80">
        <f t="shared" si="1480"/>
        <v>1284</v>
      </c>
      <c r="M897" s="80">
        <f t="shared" si="1481"/>
        <v>1484</v>
      </c>
      <c r="N897" s="80">
        <f t="shared" si="1482"/>
        <v>1656</v>
      </c>
      <c r="O897" s="80">
        <f t="shared" si="1483"/>
        <v>1827</v>
      </c>
      <c r="P897" s="81"/>
      <c r="Q897" s="81"/>
      <c r="R897" s="81"/>
      <c r="S897" s="81"/>
      <c r="T897" s="81"/>
      <c r="U897" s="81"/>
      <c r="V897" s="81"/>
      <c r="W897" s="81"/>
      <c r="X897" s="81"/>
      <c r="Y897" s="81"/>
      <c r="Z897" s="81"/>
      <c r="AA897" s="81"/>
      <c r="AB897" s="81"/>
      <c r="AC897" s="81"/>
      <c r="AD897" s="81"/>
      <c r="AE897" s="81"/>
      <c r="AF897" s="81"/>
    </row>
    <row r="898" spans="1:32">
      <c r="A898" s="76" t="s">
        <v>1632</v>
      </c>
      <c r="B898" s="79">
        <f>B891*2*0.9</f>
        <v>45000</v>
      </c>
      <c r="C898" s="79">
        <f t="shared" ref="C898:I898" si="1489">C891*2*0.9</f>
        <v>51390</v>
      </c>
      <c r="D898" s="79">
        <f t="shared" si="1489"/>
        <v>57780</v>
      </c>
      <c r="E898" s="79">
        <f t="shared" si="1489"/>
        <v>64170</v>
      </c>
      <c r="F898" s="79">
        <f t="shared" si="1489"/>
        <v>69390</v>
      </c>
      <c r="G898" s="79">
        <f t="shared" si="1489"/>
        <v>74520</v>
      </c>
      <c r="H898" s="79">
        <f t="shared" si="1489"/>
        <v>79650</v>
      </c>
      <c r="I898" s="79">
        <f t="shared" si="1489"/>
        <v>84780</v>
      </c>
      <c r="J898" s="80">
        <f t="shared" si="1478"/>
        <v>1125</v>
      </c>
      <c r="K898" s="80">
        <f t="shared" si="1479"/>
        <v>1204</v>
      </c>
      <c r="L898" s="80">
        <f t="shared" si="1480"/>
        <v>1444</v>
      </c>
      <c r="M898" s="80">
        <f t="shared" si="1481"/>
        <v>1669</v>
      </c>
      <c r="N898" s="80">
        <f t="shared" si="1482"/>
        <v>1863</v>
      </c>
      <c r="O898" s="80">
        <f t="shared" si="1483"/>
        <v>2055</v>
      </c>
      <c r="P898" s="81"/>
      <c r="Q898" s="81"/>
      <c r="R898" s="81"/>
      <c r="S898" s="81"/>
      <c r="T898" s="81"/>
      <c r="U898" s="81"/>
      <c r="V898" s="81"/>
      <c r="W898" s="81"/>
      <c r="X898" s="81"/>
      <c r="Y898" s="81"/>
      <c r="Z898" s="81"/>
      <c r="AA898" s="81"/>
      <c r="AB898" s="81"/>
      <c r="AC898" s="81"/>
      <c r="AD898" s="81"/>
      <c r="AE898" s="81"/>
      <c r="AF898" s="81"/>
    </row>
    <row r="899" spans="1:32">
      <c r="A899" s="76" t="s">
        <v>1633</v>
      </c>
      <c r="B899" s="79">
        <f>B891*2</f>
        <v>50000</v>
      </c>
      <c r="C899" s="79">
        <f t="shared" ref="C899:I899" si="1490">C891*2</f>
        <v>57100</v>
      </c>
      <c r="D899" s="79">
        <f t="shared" si="1490"/>
        <v>64200</v>
      </c>
      <c r="E899" s="79">
        <f t="shared" si="1490"/>
        <v>71300</v>
      </c>
      <c r="F899" s="79">
        <f t="shared" si="1490"/>
        <v>77100</v>
      </c>
      <c r="G899" s="79">
        <f t="shared" si="1490"/>
        <v>82800</v>
      </c>
      <c r="H899" s="79">
        <f t="shared" si="1490"/>
        <v>88500</v>
      </c>
      <c r="I899" s="79">
        <f t="shared" si="1490"/>
        <v>94200</v>
      </c>
      <c r="J899" s="80">
        <f>J891*2</f>
        <v>1250</v>
      </c>
      <c r="K899" s="80">
        <f t="shared" ref="K899:O899" si="1491">K891*2</f>
        <v>1338</v>
      </c>
      <c r="L899" s="80">
        <f t="shared" si="1491"/>
        <v>1604</v>
      </c>
      <c r="M899" s="80">
        <f t="shared" si="1491"/>
        <v>1854</v>
      </c>
      <c r="N899" s="80">
        <f t="shared" si="1491"/>
        <v>2070</v>
      </c>
      <c r="O899" s="80">
        <f t="shared" si="1491"/>
        <v>2282</v>
      </c>
      <c r="P899" s="81"/>
      <c r="Q899" s="81"/>
      <c r="R899" s="81"/>
      <c r="S899" s="81"/>
      <c r="T899" s="81"/>
      <c r="U899" s="81"/>
      <c r="V899" s="81"/>
      <c r="W899" s="81"/>
      <c r="X899" s="81"/>
      <c r="Y899" s="81"/>
      <c r="Z899" s="81"/>
      <c r="AA899" s="81"/>
      <c r="AB899" s="81"/>
      <c r="AC899" s="81"/>
      <c r="AD899" s="81"/>
      <c r="AE899" s="81"/>
      <c r="AF899" s="81"/>
    </row>
    <row r="900" spans="1:32">
      <c r="A900" s="76" t="s">
        <v>1634</v>
      </c>
      <c r="B900" s="79">
        <f>B891*2*1.1</f>
        <v>55000.000000000007</v>
      </c>
      <c r="C900" s="79">
        <f t="shared" ref="C900:I900" si="1492">C891*2*1.1</f>
        <v>62810.000000000007</v>
      </c>
      <c r="D900" s="79">
        <f t="shared" si="1492"/>
        <v>70620</v>
      </c>
      <c r="E900" s="79">
        <f t="shared" si="1492"/>
        <v>78430</v>
      </c>
      <c r="F900" s="79">
        <f t="shared" si="1492"/>
        <v>84810</v>
      </c>
      <c r="G900" s="79">
        <f t="shared" si="1492"/>
        <v>91080.000000000015</v>
      </c>
      <c r="H900" s="79">
        <f t="shared" si="1492"/>
        <v>97350.000000000015</v>
      </c>
      <c r="I900" s="79">
        <f t="shared" si="1492"/>
        <v>103620.00000000001</v>
      </c>
      <c r="J900" s="80">
        <f t="shared" ref="J900:J908" si="1493">TRUNC(B900/12*0.3)</f>
        <v>1375</v>
      </c>
      <c r="K900" s="80">
        <f t="shared" ref="K900:K908" si="1494">TRUNC((B900+C900)/2/12*0.3)</f>
        <v>1472</v>
      </c>
      <c r="L900" s="80">
        <f t="shared" ref="L900:L908" si="1495">TRUNC((D900)/12*0.3)</f>
        <v>1765</v>
      </c>
      <c r="M900" s="80">
        <f t="shared" ref="M900:M908" si="1496">TRUNC(((E900+F900)/2)/12*0.3)</f>
        <v>2040</v>
      </c>
      <c r="N900" s="80">
        <f t="shared" ref="N900:N908" si="1497">TRUNC(G900/12*0.3)</f>
        <v>2277</v>
      </c>
      <c r="O900" s="80">
        <f t="shared" ref="O900:O908" si="1498">TRUNC(((H900+I900)/2)/12*0.3)</f>
        <v>2512</v>
      </c>
      <c r="P900" s="81"/>
      <c r="Q900" s="81"/>
      <c r="R900" s="81"/>
      <c r="S900" s="81"/>
      <c r="T900" s="81"/>
      <c r="U900" s="81"/>
      <c r="V900" s="81"/>
      <c r="W900" s="81"/>
      <c r="X900" s="81"/>
      <c r="Y900" s="81"/>
      <c r="Z900" s="81"/>
      <c r="AA900" s="81"/>
      <c r="AB900" s="81"/>
      <c r="AC900" s="81"/>
      <c r="AD900" s="81"/>
      <c r="AE900" s="81"/>
      <c r="AF900" s="81"/>
    </row>
    <row r="901" spans="1:32">
      <c r="A901" s="76" t="s">
        <v>1635</v>
      </c>
      <c r="B901" s="79">
        <f>B891*2*1.2</f>
        <v>60000</v>
      </c>
      <c r="C901" s="79">
        <f t="shared" ref="C901:I901" si="1499">C891*2*1.2</f>
        <v>68520</v>
      </c>
      <c r="D901" s="79">
        <f t="shared" si="1499"/>
        <v>77040</v>
      </c>
      <c r="E901" s="79">
        <f t="shared" si="1499"/>
        <v>85560</v>
      </c>
      <c r="F901" s="79">
        <f t="shared" si="1499"/>
        <v>92520</v>
      </c>
      <c r="G901" s="79">
        <f t="shared" si="1499"/>
        <v>99360</v>
      </c>
      <c r="H901" s="79">
        <f t="shared" si="1499"/>
        <v>106200</v>
      </c>
      <c r="I901" s="79">
        <f t="shared" si="1499"/>
        <v>113040</v>
      </c>
      <c r="J901" s="80">
        <f t="shared" si="1493"/>
        <v>1500</v>
      </c>
      <c r="K901" s="80">
        <f t="shared" si="1494"/>
        <v>1606</v>
      </c>
      <c r="L901" s="80">
        <f t="shared" si="1495"/>
        <v>1926</v>
      </c>
      <c r="M901" s="80">
        <f t="shared" si="1496"/>
        <v>2226</v>
      </c>
      <c r="N901" s="80">
        <f t="shared" si="1497"/>
        <v>2484</v>
      </c>
      <c r="O901" s="80">
        <f t="shared" si="1498"/>
        <v>2740</v>
      </c>
      <c r="P901" s="81"/>
      <c r="Q901" s="81"/>
      <c r="R901" s="81"/>
      <c r="S901" s="81"/>
      <c r="T901" s="81"/>
      <c r="U901" s="81"/>
      <c r="V901" s="81"/>
      <c r="W901" s="81"/>
      <c r="X901" s="81"/>
      <c r="Y901" s="81"/>
      <c r="Z901" s="81"/>
      <c r="AA901" s="81"/>
      <c r="AB901" s="81"/>
      <c r="AC901" s="81"/>
      <c r="AD901" s="81"/>
      <c r="AE901" s="81"/>
      <c r="AF901" s="81"/>
    </row>
    <row r="902" spans="1:32">
      <c r="A902" s="76" t="s">
        <v>1636</v>
      </c>
      <c r="B902" s="79">
        <f>B909*2*0.15</f>
        <v>7320</v>
      </c>
      <c r="C902" s="79">
        <f>C909*2*0.15</f>
        <v>8370</v>
      </c>
      <c r="D902" s="79">
        <f>D909*2*0.15</f>
        <v>9420</v>
      </c>
      <c r="E902" s="79">
        <f>E909*2*0.15</f>
        <v>10455</v>
      </c>
      <c r="F902" s="79">
        <f>F909*2*0.15</f>
        <v>11295</v>
      </c>
      <c r="G902" s="79">
        <f t="shared" ref="G902:I902" si="1500">G909*2*0.15</f>
        <v>12135</v>
      </c>
      <c r="H902" s="79">
        <f t="shared" si="1500"/>
        <v>12975</v>
      </c>
      <c r="I902" s="79">
        <f t="shared" si="1500"/>
        <v>13815</v>
      </c>
      <c r="J902" s="80">
        <f t="shared" si="1493"/>
        <v>183</v>
      </c>
      <c r="K902" s="80">
        <f t="shared" si="1494"/>
        <v>196</v>
      </c>
      <c r="L902" s="80">
        <f t="shared" si="1495"/>
        <v>235</v>
      </c>
      <c r="M902" s="80">
        <f t="shared" si="1496"/>
        <v>271</v>
      </c>
      <c r="N902" s="80">
        <f t="shared" si="1497"/>
        <v>303</v>
      </c>
      <c r="O902" s="80">
        <f t="shared" si="1498"/>
        <v>334</v>
      </c>
      <c r="P902" s="81"/>
      <c r="Q902" s="81"/>
      <c r="R902" s="81"/>
      <c r="S902" s="81"/>
      <c r="T902" s="81"/>
      <c r="U902" s="81"/>
      <c r="V902" s="81"/>
      <c r="W902" s="81"/>
      <c r="X902" s="81"/>
      <c r="Y902" s="81"/>
      <c r="Z902" s="81"/>
      <c r="AA902" s="81"/>
      <c r="AB902" s="81"/>
      <c r="AC902" s="81"/>
      <c r="AD902" s="81"/>
      <c r="AE902" s="81"/>
      <c r="AF902" s="81"/>
    </row>
    <row r="903" spans="1:32">
      <c r="A903" s="76" t="s">
        <v>1637</v>
      </c>
      <c r="B903" s="79">
        <f>B909*2*0.2</f>
        <v>9760</v>
      </c>
      <c r="C903" s="79">
        <f t="shared" ref="C903:I903" si="1501">C909*2*0.2</f>
        <v>11160</v>
      </c>
      <c r="D903" s="79">
        <f t="shared" si="1501"/>
        <v>12560</v>
      </c>
      <c r="E903" s="79">
        <f t="shared" si="1501"/>
        <v>13940</v>
      </c>
      <c r="F903" s="79">
        <f t="shared" si="1501"/>
        <v>15060</v>
      </c>
      <c r="G903" s="79">
        <f t="shared" si="1501"/>
        <v>16180</v>
      </c>
      <c r="H903" s="79">
        <f t="shared" si="1501"/>
        <v>17300</v>
      </c>
      <c r="I903" s="79">
        <f t="shared" si="1501"/>
        <v>18420</v>
      </c>
      <c r="J903" s="80">
        <f t="shared" si="1493"/>
        <v>244</v>
      </c>
      <c r="K903" s="80">
        <f t="shared" si="1494"/>
        <v>261</v>
      </c>
      <c r="L903" s="80">
        <f t="shared" si="1495"/>
        <v>314</v>
      </c>
      <c r="M903" s="80">
        <f t="shared" si="1496"/>
        <v>362</v>
      </c>
      <c r="N903" s="80">
        <f t="shared" si="1497"/>
        <v>404</v>
      </c>
      <c r="O903" s="80">
        <f t="shared" si="1498"/>
        <v>446</v>
      </c>
      <c r="P903" s="81"/>
      <c r="Q903" s="81"/>
      <c r="R903" s="81"/>
      <c r="S903" s="81"/>
      <c r="T903" s="81"/>
      <c r="U903" s="81"/>
      <c r="V903" s="81"/>
      <c r="W903" s="81"/>
      <c r="X903" s="81"/>
      <c r="Y903" s="81"/>
      <c r="Z903" s="81"/>
      <c r="AA903" s="81"/>
      <c r="AB903" s="81"/>
      <c r="AC903" s="81"/>
      <c r="AD903" s="81"/>
      <c r="AE903" s="81"/>
      <c r="AF903" s="81"/>
    </row>
    <row r="904" spans="1:32">
      <c r="A904" s="76" t="s">
        <v>1638</v>
      </c>
      <c r="B904" s="79">
        <f>B909*2*0.25</f>
        <v>12200</v>
      </c>
      <c r="C904" s="79">
        <f t="shared" ref="C904:I904" si="1502">C909*2*0.25</f>
        <v>13950</v>
      </c>
      <c r="D904" s="79">
        <f t="shared" si="1502"/>
        <v>15700</v>
      </c>
      <c r="E904" s="79">
        <f t="shared" si="1502"/>
        <v>17425</v>
      </c>
      <c r="F904" s="79">
        <f t="shared" si="1502"/>
        <v>18825</v>
      </c>
      <c r="G904" s="79">
        <f t="shared" si="1502"/>
        <v>20225</v>
      </c>
      <c r="H904" s="79">
        <f t="shared" si="1502"/>
        <v>21625</v>
      </c>
      <c r="I904" s="79">
        <f t="shared" si="1502"/>
        <v>23025</v>
      </c>
      <c r="J904" s="80">
        <f t="shared" si="1493"/>
        <v>305</v>
      </c>
      <c r="K904" s="80">
        <f t="shared" si="1494"/>
        <v>326</v>
      </c>
      <c r="L904" s="80">
        <f t="shared" si="1495"/>
        <v>392</v>
      </c>
      <c r="M904" s="80">
        <f t="shared" si="1496"/>
        <v>453</v>
      </c>
      <c r="N904" s="80">
        <f t="shared" si="1497"/>
        <v>505</v>
      </c>
      <c r="O904" s="80">
        <f t="shared" si="1498"/>
        <v>558</v>
      </c>
      <c r="P904" s="81"/>
      <c r="Q904" s="81"/>
      <c r="R904" s="81"/>
      <c r="S904" s="81"/>
      <c r="T904" s="81"/>
      <c r="U904" s="81"/>
      <c r="V904" s="81"/>
      <c r="W904" s="81"/>
      <c r="X904" s="81"/>
      <c r="Y904" s="81"/>
      <c r="Z904" s="81"/>
      <c r="AA904" s="81"/>
      <c r="AB904" s="81"/>
      <c r="AC904" s="81"/>
      <c r="AD904" s="81"/>
      <c r="AE904" s="81"/>
      <c r="AF904" s="81"/>
    </row>
    <row r="905" spans="1:32">
      <c r="A905" s="76" t="s">
        <v>1639</v>
      </c>
      <c r="B905" s="79">
        <f>B909*2*0.3</f>
        <v>14640</v>
      </c>
      <c r="C905" s="79">
        <f t="shared" ref="C905:I905" si="1503">C909*2*0.3</f>
        <v>16740</v>
      </c>
      <c r="D905" s="79">
        <f t="shared" si="1503"/>
        <v>18840</v>
      </c>
      <c r="E905" s="79">
        <f t="shared" si="1503"/>
        <v>20910</v>
      </c>
      <c r="F905" s="79">
        <f t="shared" si="1503"/>
        <v>22590</v>
      </c>
      <c r="G905" s="79">
        <f t="shared" si="1503"/>
        <v>24270</v>
      </c>
      <c r="H905" s="79">
        <f t="shared" si="1503"/>
        <v>25950</v>
      </c>
      <c r="I905" s="79">
        <f t="shared" si="1503"/>
        <v>27630</v>
      </c>
      <c r="J905" s="80">
        <f t="shared" si="1493"/>
        <v>366</v>
      </c>
      <c r="K905" s="80">
        <f t="shared" si="1494"/>
        <v>392</v>
      </c>
      <c r="L905" s="80">
        <f t="shared" si="1495"/>
        <v>471</v>
      </c>
      <c r="M905" s="80">
        <f t="shared" si="1496"/>
        <v>543</v>
      </c>
      <c r="N905" s="80">
        <f t="shared" si="1497"/>
        <v>606</v>
      </c>
      <c r="O905" s="80">
        <f t="shared" si="1498"/>
        <v>669</v>
      </c>
      <c r="P905" s="81"/>
      <c r="Q905" s="81"/>
      <c r="R905" s="81"/>
      <c r="S905" s="81"/>
      <c r="T905" s="81"/>
      <c r="U905" s="81"/>
      <c r="V905" s="81"/>
      <c r="W905" s="81"/>
      <c r="X905" s="81"/>
      <c r="Y905" s="81"/>
      <c r="Z905" s="81"/>
      <c r="AA905" s="81"/>
      <c r="AB905" s="81"/>
      <c r="AC905" s="81"/>
      <c r="AD905" s="81"/>
      <c r="AE905" s="81"/>
      <c r="AF905" s="81"/>
    </row>
    <row r="906" spans="1:32">
      <c r="A906" s="76" t="s">
        <v>1640</v>
      </c>
      <c r="B906" s="79">
        <f>B909*2*0.35</f>
        <v>17080</v>
      </c>
      <c r="C906" s="79">
        <f t="shared" ref="C906:I906" si="1504">C909*2*0.35</f>
        <v>19530</v>
      </c>
      <c r="D906" s="79">
        <f t="shared" si="1504"/>
        <v>21980</v>
      </c>
      <c r="E906" s="79">
        <f t="shared" si="1504"/>
        <v>24395</v>
      </c>
      <c r="F906" s="79">
        <f t="shared" si="1504"/>
        <v>26355</v>
      </c>
      <c r="G906" s="79">
        <f t="shared" si="1504"/>
        <v>28315</v>
      </c>
      <c r="H906" s="79">
        <f t="shared" si="1504"/>
        <v>30274.999999999996</v>
      </c>
      <c r="I906" s="79">
        <f t="shared" si="1504"/>
        <v>32234.999999999996</v>
      </c>
      <c r="J906" s="80">
        <f t="shared" si="1493"/>
        <v>427</v>
      </c>
      <c r="K906" s="80">
        <f t="shared" si="1494"/>
        <v>457</v>
      </c>
      <c r="L906" s="80">
        <f t="shared" si="1495"/>
        <v>549</v>
      </c>
      <c r="M906" s="80">
        <f t="shared" si="1496"/>
        <v>634</v>
      </c>
      <c r="N906" s="80">
        <f t="shared" si="1497"/>
        <v>707</v>
      </c>
      <c r="O906" s="80">
        <f t="shared" si="1498"/>
        <v>781</v>
      </c>
      <c r="P906" s="81"/>
      <c r="Q906" s="81"/>
      <c r="R906" s="81"/>
      <c r="S906" s="81"/>
      <c r="T906" s="81"/>
      <c r="U906" s="81"/>
      <c r="V906" s="81"/>
      <c r="W906" s="81"/>
      <c r="X906" s="81"/>
      <c r="Y906" s="81"/>
      <c r="Z906" s="81"/>
      <c r="AA906" s="81"/>
      <c r="AB906" s="81"/>
      <c r="AC906" s="81"/>
      <c r="AD906" s="81"/>
      <c r="AE906" s="81"/>
      <c r="AF906" s="81"/>
    </row>
    <row r="907" spans="1:32">
      <c r="A907" s="76" t="s">
        <v>1641</v>
      </c>
      <c r="B907" s="79">
        <f>B909*2*0.4</f>
        <v>19520</v>
      </c>
      <c r="C907" s="79">
        <f t="shared" ref="C907:I907" si="1505">C909*2*0.4</f>
        <v>22320</v>
      </c>
      <c r="D907" s="79">
        <f t="shared" si="1505"/>
        <v>25120</v>
      </c>
      <c r="E907" s="79">
        <f t="shared" si="1505"/>
        <v>27880</v>
      </c>
      <c r="F907" s="79">
        <f t="shared" si="1505"/>
        <v>30120</v>
      </c>
      <c r="G907" s="79">
        <f t="shared" si="1505"/>
        <v>32360</v>
      </c>
      <c r="H907" s="79">
        <f t="shared" si="1505"/>
        <v>34600</v>
      </c>
      <c r="I907" s="79">
        <f t="shared" si="1505"/>
        <v>36840</v>
      </c>
      <c r="J907" s="80">
        <f t="shared" si="1493"/>
        <v>488</v>
      </c>
      <c r="K907" s="80">
        <f t="shared" si="1494"/>
        <v>523</v>
      </c>
      <c r="L907" s="80">
        <f t="shared" si="1495"/>
        <v>628</v>
      </c>
      <c r="M907" s="80">
        <f t="shared" si="1496"/>
        <v>725</v>
      </c>
      <c r="N907" s="80">
        <f t="shared" si="1497"/>
        <v>809</v>
      </c>
      <c r="O907" s="80">
        <f t="shared" si="1498"/>
        <v>893</v>
      </c>
      <c r="P907" s="81"/>
      <c r="Q907" s="81"/>
      <c r="R907" s="81"/>
      <c r="S907" s="81"/>
      <c r="T907" s="81"/>
      <c r="U907" s="81"/>
      <c r="V907" s="81"/>
      <c r="W907" s="81"/>
      <c r="X907" s="81"/>
      <c r="Y907" s="81"/>
      <c r="Z907" s="81"/>
      <c r="AA907" s="81"/>
      <c r="AB907" s="81"/>
      <c r="AC907" s="81"/>
      <c r="AD907" s="81"/>
      <c r="AE907" s="81"/>
      <c r="AF907" s="81"/>
    </row>
    <row r="908" spans="1:32">
      <c r="A908" s="76" t="s">
        <v>1642</v>
      </c>
      <c r="B908" s="79">
        <f>B909*2*0.45</f>
        <v>21960</v>
      </c>
      <c r="C908" s="79">
        <f t="shared" ref="C908:I908" si="1506">C909*2*0.45</f>
        <v>25110</v>
      </c>
      <c r="D908" s="79">
        <f t="shared" si="1506"/>
        <v>28260</v>
      </c>
      <c r="E908" s="79">
        <f t="shared" si="1506"/>
        <v>31365</v>
      </c>
      <c r="F908" s="79">
        <f t="shared" si="1506"/>
        <v>33885</v>
      </c>
      <c r="G908" s="79">
        <f t="shared" si="1506"/>
        <v>36405</v>
      </c>
      <c r="H908" s="79">
        <f t="shared" si="1506"/>
        <v>38925</v>
      </c>
      <c r="I908" s="79">
        <f t="shared" si="1506"/>
        <v>41445</v>
      </c>
      <c r="J908" s="80">
        <f t="shared" si="1493"/>
        <v>549</v>
      </c>
      <c r="K908" s="80">
        <f t="shared" si="1494"/>
        <v>588</v>
      </c>
      <c r="L908" s="80">
        <f t="shared" si="1495"/>
        <v>706</v>
      </c>
      <c r="M908" s="80">
        <f t="shared" si="1496"/>
        <v>815</v>
      </c>
      <c r="N908" s="80">
        <f t="shared" si="1497"/>
        <v>910</v>
      </c>
      <c r="O908" s="80">
        <f t="shared" si="1498"/>
        <v>1004</v>
      </c>
      <c r="P908" s="81"/>
      <c r="Q908" s="81"/>
      <c r="R908" s="81"/>
      <c r="S908" s="81"/>
      <c r="T908" s="81"/>
      <c r="U908" s="81"/>
      <c r="V908" s="81"/>
      <c r="W908" s="81"/>
      <c r="X908" s="81"/>
      <c r="Y908" s="81"/>
      <c r="Z908" s="81"/>
      <c r="AA908" s="81"/>
      <c r="AB908" s="81"/>
      <c r="AC908" s="81"/>
      <c r="AD908" s="81"/>
      <c r="AE908" s="81"/>
      <c r="AF908" s="81"/>
    </row>
    <row r="909" spans="1:32">
      <c r="A909" s="82" t="s">
        <v>1643</v>
      </c>
      <c r="B909" s="84">
        <f>'MTSP 50% Income Limits '!B52</f>
        <v>24400</v>
      </c>
      <c r="C909" s="84">
        <f>'MTSP 50% Income Limits '!C52</f>
        <v>27900</v>
      </c>
      <c r="D909" s="84">
        <f>'MTSP 50% Income Limits '!D52</f>
        <v>31400</v>
      </c>
      <c r="E909" s="84">
        <f>'MTSP 50% Income Limits '!E52</f>
        <v>34850</v>
      </c>
      <c r="F909" s="84">
        <f>'MTSP 50% Income Limits '!F52</f>
        <v>37650</v>
      </c>
      <c r="G909" s="84">
        <f>'MTSP 50% Income Limits '!G52</f>
        <v>40450</v>
      </c>
      <c r="H909" s="84">
        <f>'MTSP 50% Income Limits '!H52</f>
        <v>43250</v>
      </c>
      <c r="I909" s="84">
        <f>'MTSP 50% Income Limits '!I52</f>
        <v>46050</v>
      </c>
      <c r="J909" s="83">
        <f>TRUNC(B909/12*0.3)</f>
        <v>610</v>
      </c>
      <c r="K909" s="83">
        <f>TRUNC((B909+C909)/2/12*0.3)</f>
        <v>653</v>
      </c>
      <c r="L909" s="83">
        <f>TRUNC((D909)/12*0.3)</f>
        <v>785</v>
      </c>
      <c r="M909" s="83">
        <f>TRUNC(((E909+F909)/2)/12*0.3)</f>
        <v>906</v>
      </c>
      <c r="N909" s="83">
        <f>TRUNC(G909/12*0.3)</f>
        <v>1011</v>
      </c>
      <c r="O909" s="83">
        <f>TRUNC(((H909+I909)/2)/12*0.3)</f>
        <v>1116</v>
      </c>
      <c r="P909" s="81"/>
      <c r="Q909" s="81"/>
      <c r="R909" s="81"/>
      <c r="S909" s="81"/>
      <c r="T909" s="81"/>
      <c r="U909" s="81"/>
      <c r="V909" s="81"/>
      <c r="W909" s="81"/>
      <c r="X909" s="81"/>
      <c r="Y909" s="81"/>
      <c r="Z909" s="81"/>
      <c r="AA909" s="81"/>
      <c r="AB909" s="81"/>
      <c r="AC909" s="81"/>
      <c r="AD909" s="81"/>
      <c r="AE909" s="81"/>
      <c r="AF909" s="81"/>
    </row>
    <row r="910" spans="1:32">
      <c r="A910" s="76" t="s">
        <v>1644</v>
      </c>
      <c r="B910" s="79">
        <f>B909*2*0.55</f>
        <v>26840.000000000004</v>
      </c>
      <c r="C910" s="79">
        <f t="shared" ref="C910:I910" si="1507">C909*2*0.55</f>
        <v>30690.000000000004</v>
      </c>
      <c r="D910" s="79">
        <f t="shared" si="1507"/>
        <v>34540</v>
      </c>
      <c r="E910" s="79">
        <f t="shared" si="1507"/>
        <v>38335</v>
      </c>
      <c r="F910" s="79">
        <f t="shared" si="1507"/>
        <v>41415</v>
      </c>
      <c r="G910" s="79">
        <f t="shared" si="1507"/>
        <v>44495</v>
      </c>
      <c r="H910" s="79">
        <f t="shared" si="1507"/>
        <v>47575.000000000007</v>
      </c>
      <c r="I910" s="79">
        <f t="shared" si="1507"/>
        <v>50655.000000000007</v>
      </c>
      <c r="J910" s="80">
        <f t="shared" ref="J910:J916" si="1508">TRUNC(B910/12*0.3)</f>
        <v>671</v>
      </c>
      <c r="K910" s="80">
        <f t="shared" ref="K910:K916" si="1509">TRUNC((B910+C910)/2/12*0.3)</f>
        <v>719</v>
      </c>
      <c r="L910" s="80">
        <f t="shared" ref="L910:L916" si="1510">TRUNC((D910)/12*0.3)</f>
        <v>863</v>
      </c>
      <c r="M910" s="80">
        <f t="shared" ref="M910:M916" si="1511">TRUNC(((E910+F910)/2)/12*0.3)</f>
        <v>996</v>
      </c>
      <c r="N910" s="80">
        <f t="shared" ref="N910:N916" si="1512">TRUNC(G910/12*0.3)</f>
        <v>1112</v>
      </c>
      <c r="O910" s="80">
        <f t="shared" ref="O910:O916" si="1513">TRUNC(((H910+I910)/2)/12*0.3)</f>
        <v>1227</v>
      </c>
      <c r="P910" s="81"/>
      <c r="Q910" s="81"/>
      <c r="R910" s="81"/>
      <c r="S910" s="81"/>
      <c r="T910" s="81"/>
      <c r="U910" s="81"/>
      <c r="V910" s="81"/>
      <c r="W910" s="81"/>
      <c r="X910" s="81"/>
      <c r="Y910" s="81"/>
      <c r="Z910" s="81"/>
      <c r="AA910" s="81"/>
      <c r="AB910" s="81"/>
      <c r="AC910" s="81"/>
      <c r="AD910" s="81"/>
      <c r="AE910" s="81"/>
      <c r="AF910" s="81"/>
    </row>
    <row r="911" spans="1:32">
      <c r="A911" s="76" t="s">
        <v>1645</v>
      </c>
      <c r="B911" s="79">
        <f>B909*2*0.6</f>
        <v>29280</v>
      </c>
      <c r="C911" s="79">
        <f t="shared" ref="C911:I911" si="1514">C909*2*0.6</f>
        <v>33480</v>
      </c>
      <c r="D911" s="79">
        <f t="shared" si="1514"/>
        <v>37680</v>
      </c>
      <c r="E911" s="79">
        <f t="shared" si="1514"/>
        <v>41820</v>
      </c>
      <c r="F911" s="79">
        <f t="shared" si="1514"/>
        <v>45180</v>
      </c>
      <c r="G911" s="79">
        <f t="shared" si="1514"/>
        <v>48540</v>
      </c>
      <c r="H911" s="79">
        <f t="shared" si="1514"/>
        <v>51900</v>
      </c>
      <c r="I911" s="79">
        <f t="shared" si="1514"/>
        <v>55260</v>
      </c>
      <c r="J911" s="80">
        <f t="shared" si="1508"/>
        <v>732</v>
      </c>
      <c r="K911" s="80">
        <f t="shared" si="1509"/>
        <v>784</v>
      </c>
      <c r="L911" s="80">
        <f t="shared" si="1510"/>
        <v>942</v>
      </c>
      <c r="M911" s="80">
        <f t="shared" si="1511"/>
        <v>1087</v>
      </c>
      <c r="N911" s="80">
        <f t="shared" si="1512"/>
        <v>1213</v>
      </c>
      <c r="O911" s="80">
        <f t="shared" si="1513"/>
        <v>1339</v>
      </c>
      <c r="P911" s="81"/>
      <c r="Q911" s="81"/>
      <c r="R911" s="81"/>
      <c r="S911" s="81"/>
      <c r="T911" s="81"/>
      <c r="U911" s="81"/>
      <c r="V911" s="81"/>
      <c r="W911" s="81"/>
      <c r="X911" s="81"/>
      <c r="Y911" s="81"/>
      <c r="Z911" s="81"/>
      <c r="AA911" s="81"/>
      <c r="AB911" s="81"/>
      <c r="AC911" s="81"/>
      <c r="AD911" s="81"/>
      <c r="AE911" s="81"/>
      <c r="AF911" s="81"/>
    </row>
    <row r="912" spans="1:32">
      <c r="A912" s="76" t="s">
        <v>1646</v>
      </c>
      <c r="B912" s="79">
        <f>B909*2*0.65</f>
        <v>31720</v>
      </c>
      <c r="C912" s="79">
        <f t="shared" ref="C912:I912" si="1515">C909*2*0.65</f>
        <v>36270</v>
      </c>
      <c r="D912" s="79">
        <f t="shared" si="1515"/>
        <v>40820</v>
      </c>
      <c r="E912" s="79">
        <f t="shared" si="1515"/>
        <v>45305</v>
      </c>
      <c r="F912" s="79">
        <f t="shared" si="1515"/>
        <v>48945</v>
      </c>
      <c r="G912" s="79">
        <f t="shared" si="1515"/>
        <v>52585</v>
      </c>
      <c r="H912" s="79">
        <f t="shared" si="1515"/>
        <v>56225</v>
      </c>
      <c r="I912" s="79">
        <f t="shared" si="1515"/>
        <v>59865</v>
      </c>
      <c r="J912" s="80">
        <f t="shared" si="1508"/>
        <v>793</v>
      </c>
      <c r="K912" s="80">
        <f t="shared" si="1509"/>
        <v>849</v>
      </c>
      <c r="L912" s="80">
        <f t="shared" si="1510"/>
        <v>1020</v>
      </c>
      <c r="M912" s="80">
        <f t="shared" si="1511"/>
        <v>1178</v>
      </c>
      <c r="N912" s="80">
        <f t="shared" si="1512"/>
        <v>1314</v>
      </c>
      <c r="O912" s="80">
        <f t="shared" si="1513"/>
        <v>1451</v>
      </c>
      <c r="P912" s="81"/>
      <c r="Q912" s="81"/>
      <c r="R912" s="81"/>
      <c r="S912" s="81"/>
      <c r="T912" s="81"/>
      <c r="U912" s="81"/>
      <c r="V912" s="81"/>
      <c r="W912" s="81"/>
      <c r="X912" s="81"/>
      <c r="Y912" s="81"/>
      <c r="Z912" s="81"/>
      <c r="AA912" s="81"/>
      <c r="AB912" s="81"/>
      <c r="AC912" s="81"/>
      <c r="AD912" s="81"/>
      <c r="AE912" s="81"/>
      <c r="AF912" s="81"/>
    </row>
    <row r="913" spans="1:32">
      <c r="A913" s="76" t="s">
        <v>1647</v>
      </c>
      <c r="B913" s="79">
        <f>B909*2*0.7</f>
        <v>34160</v>
      </c>
      <c r="C913" s="79">
        <f t="shared" ref="C913:I913" si="1516">C909*2*0.7</f>
        <v>39060</v>
      </c>
      <c r="D913" s="79">
        <f t="shared" si="1516"/>
        <v>43960</v>
      </c>
      <c r="E913" s="79">
        <f t="shared" si="1516"/>
        <v>48790</v>
      </c>
      <c r="F913" s="79">
        <f t="shared" si="1516"/>
        <v>52710</v>
      </c>
      <c r="G913" s="79">
        <f t="shared" si="1516"/>
        <v>56630</v>
      </c>
      <c r="H913" s="79">
        <f t="shared" si="1516"/>
        <v>60549.999999999993</v>
      </c>
      <c r="I913" s="79">
        <f t="shared" si="1516"/>
        <v>64469.999999999993</v>
      </c>
      <c r="J913" s="80">
        <f t="shared" si="1508"/>
        <v>854</v>
      </c>
      <c r="K913" s="80">
        <f t="shared" si="1509"/>
        <v>915</v>
      </c>
      <c r="L913" s="80">
        <f t="shared" si="1510"/>
        <v>1099</v>
      </c>
      <c r="M913" s="80">
        <f t="shared" si="1511"/>
        <v>1268</v>
      </c>
      <c r="N913" s="80">
        <f t="shared" si="1512"/>
        <v>1415</v>
      </c>
      <c r="O913" s="80">
        <f t="shared" si="1513"/>
        <v>1562</v>
      </c>
      <c r="P913" s="81"/>
      <c r="Q913" s="81"/>
      <c r="R913" s="81"/>
      <c r="S913" s="81"/>
      <c r="T913" s="81"/>
      <c r="U913" s="81"/>
      <c r="V913" s="81"/>
      <c r="W913" s="81"/>
      <c r="X913" s="81"/>
      <c r="Y913" s="81"/>
      <c r="Z913" s="81"/>
      <c r="AA913" s="81"/>
      <c r="AB913" s="81"/>
      <c r="AC913" s="81"/>
      <c r="AD913" s="81"/>
      <c r="AE913" s="81"/>
      <c r="AF913" s="81"/>
    </row>
    <row r="914" spans="1:32">
      <c r="A914" s="76" t="s">
        <v>1648</v>
      </c>
      <c r="B914" s="79">
        <f>B909*2*0.75</f>
        <v>36600</v>
      </c>
      <c r="C914" s="79">
        <f t="shared" ref="C914:I914" si="1517">C909*2*0.75</f>
        <v>41850</v>
      </c>
      <c r="D914" s="79">
        <f t="shared" si="1517"/>
        <v>47100</v>
      </c>
      <c r="E914" s="79">
        <f t="shared" si="1517"/>
        <v>52275</v>
      </c>
      <c r="F914" s="79">
        <f t="shared" si="1517"/>
        <v>56475</v>
      </c>
      <c r="G914" s="79">
        <f t="shared" si="1517"/>
        <v>60675</v>
      </c>
      <c r="H914" s="79">
        <f t="shared" si="1517"/>
        <v>64875</v>
      </c>
      <c r="I914" s="79">
        <f t="shared" si="1517"/>
        <v>69075</v>
      </c>
      <c r="J914" s="80">
        <f t="shared" si="1508"/>
        <v>915</v>
      </c>
      <c r="K914" s="80">
        <f t="shared" si="1509"/>
        <v>980</v>
      </c>
      <c r="L914" s="80">
        <f t="shared" si="1510"/>
        <v>1177</v>
      </c>
      <c r="M914" s="80">
        <f t="shared" si="1511"/>
        <v>1359</v>
      </c>
      <c r="N914" s="80">
        <f t="shared" si="1512"/>
        <v>1516</v>
      </c>
      <c r="O914" s="80">
        <f t="shared" si="1513"/>
        <v>1674</v>
      </c>
      <c r="P914" s="81"/>
      <c r="Q914" s="81"/>
      <c r="R914" s="81"/>
      <c r="S914" s="81"/>
      <c r="T914" s="81"/>
      <c r="U914" s="81"/>
      <c r="V914" s="81"/>
      <c r="W914" s="81"/>
      <c r="X914" s="81"/>
      <c r="Y914" s="81"/>
      <c r="Z914" s="81"/>
      <c r="AA914" s="81"/>
      <c r="AB914" s="81"/>
      <c r="AC914" s="81"/>
      <c r="AD914" s="81"/>
      <c r="AE914" s="81"/>
      <c r="AF914" s="81"/>
    </row>
    <row r="915" spans="1:32">
      <c r="A915" s="76" t="s">
        <v>1649</v>
      </c>
      <c r="B915" s="79">
        <f>B909*2*0.8</f>
        <v>39040</v>
      </c>
      <c r="C915" s="79">
        <f t="shared" ref="C915:I915" si="1518">C909*2*0.8</f>
        <v>44640</v>
      </c>
      <c r="D915" s="79">
        <f t="shared" si="1518"/>
        <v>50240</v>
      </c>
      <c r="E915" s="79">
        <f t="shared" si="1518"/>
        <v>55760</v>
      </c>
      <c r="F915" s="79">
        <f t="shared" si="1518"/>
        <v>60240</v>
      </c>
      <c r="G915" s="79">
        <f t="shared" si="1518"/>
        <v>64720</v>
      </c>
      <c r="H915" s="79">
        <f t="shared" si="1518"/>
        <v>69200</v>
      </c>
      <c r="I915" s="79">
        <f t="shared" si="1518"/>
        <v>73680</v>
      </c>
      <c r="J915" s="80">
        <f t="shared" si="1508"/>
        <v>976</v>
      </c>
      <c r="K915" s="80">
        <f t="shared" si="1509"/>
        <v>1046</v>
      </c>
      <c r="L915" s="80">
        <f t="shared" si="1510"/>
        <v>1256</v>
      </c>
      <c r="M915" s="80">
        <f t="shared" si="1511"/>
        <v>1450</v>
      </c>
      <c r="N915" s="80">
        <f t="shared" si="1512"/>
        <v>1618</v>
      </c>
      <c r="O915" s="80">
        <f t="shared" si="1513"/>
        <v>1786</v>
      </c>
      <c r="P915" s="81"/>
      <c r="Q915" s="81"/>
      <c r="R915" s="81"/>
      <c r="S915" s="81"/>
      <c r="T915" s="81"/>
      <c r="U915" s="81"/>
      <c r="V915" s="81"/>
      <c r="W915" s="81"/>
      <c r="X915" s="81"/>
      <c r="Y915" s="81"/>
      <c r="Z915" s="81"/>
      <c r="AA915" s="81"/>
      <c r="AB915" s="81"/>
      <c r="AC915" s="81"/>
      <c r="AD915" s="81"/>
      <c r="AE915" s="81"/>
      <c r="AF915" s="81"/>
    </row>
    <row r="916" spans="1:32">
      <c r="A916" s="76" t="s">
        <v>1650</v>
      </c>
      <c r="B916" s="79">
        <f>B909*2*0.9</f>
        <v>43920</v>
      </c>
      <c r="C916" s="79">
        <f t="shared" ref="C916:I916" si="1519">C909*2*0.9</f>
        <v>50220</v>
      </c>
      <c r="D916" s="79">
        <f t="shared" si="1519"/>
        <v>56520</v>
      </c>
      <c r="E916" s="79">
        <f t="shared" si="1519"/>
        <v>62730</v>
      </c>
      <c r="F916" s="79">
        <f t="shared" si="1519"/>
        <v>67770</v>
      </c>
      <c r="G916" s="79">
        <f t="shared" si="1519"/>
        <v>72810</v>
      </c>
      <c r="H916" s="79">
        <f t="shared" si="1519"/>
        <v>77850</v>
      </c>
      <c r="I916" s="79">
        <f t="shared" si="1519"/>
        <v>82890</v>
      </c>
      <c r="J916" s="80">
        <f t="shared" si="1508"/>
        <v>1098</v>
      </c>
      <c r="K916" s="80">
        <f t="shared" si="1509"/>
        <v>1176</v>
      </c>
      <c r="L916" s="80">
        <f t="shared" si="1510"/>
        <v>1413</v>
      </c>
      <c r="M916" s="80">
        <f t="shared" si="1511"/>
        <v>1631</v>
      </c>
      <c r="N916" s="80">
        <f t="shared" si="1512"/>
        <v>1820</v>
      </c>
      <c r="O916" s="80">
        <f t="shared" si="1513"/>
        <v>2009</v>
      </c>
      <c r="P916" s="81"/>
      <c r="Q916" s="81"/>
      <c r="R916" s="81"/>
      <c r="S916" s="81"/>
      <c r="T916" s="81"/>
      <c r="U916" s="81"/>
      <c r="V916" s="81"/>
      <c r="W916" s="81"/>
      <c r="X916" s="81"/>
      <c r="Y916" s="81"/>
      <c r="Z916" s="81"/>
      <c r="AA916" s="81"/>
      <c r="AB916" s="81"/>
      <c r="AC916" s="81"/>
      <c r="AD916" s="81"/>
      <c r="AE916" s="81"/>
      <c r="AF916" s="81"/>
    </row>
    <row r="917" spans="1:32">
      <c r="A917" s="76" t="s">
        <v>1651</v>
      </c>
      <c r="B917" s="79">
        <f>B909*2</f>
        <v>48800</v>
      </c>
      <c r="C917" s="79">
        <f t="shared" ref="C917:I917" si="1520">C909*2</f>
        <v>55800</v>
      </c>
      <c r="D917" s="79">
        <f t="shared" si="1520"/>
        <v>62800</v>
      </c>
      <c r="E917" s="79">
        <f t="shared" si="1520"/>
        <v>69700</v>
      </c>
      <c r="F917" s="79">
        <f t="shared" si="1520"/>
        <v>75300</v>
      </c>
      <c r="G917" s="79">
        <f t="shared" si="1520"/>
        <v>80900</v>
      </c>
      <c r="H917" s="79">
        <f t="shared" si="1520"/>
        <v>86500</v>
      </c>
      <c r="I917" s="79">
        <f t="shared" si="1520"/>
        <v>92100</v>
      </c>
      <c r="J917" s="80">
        <f>J909*2</f>
        <v>1220</v>
      </c>
      <c r="K917" s="80">
        <f t="shared" ref="K917:O917" si="1521">K909*2</f>
        <v>1306</v>
      </c>
      <c r="L917" s="80">
        <f t="shared" si="1521"/>
        <v>1570</v>
      </c>
      <c r="M917" s="80">
        <f t="shared" si="1521"/>
        <v>1812</v>
      </c>
      <c r="N917" s="80">
        <f t="shared" si="1521"/>
        <v>2022</v>
      </c>
      <c r="O917" s="80">
        <f t="shared" si="1521"/>
        <v>2232</v>
      </c>
      <c r="P917" s="81"/>
      <c r="Q917" s="81"/>
      <c r="R917" s="81"/>
      <c r="S917" s="81"/>
      <c r="T917" s="81"/>
      <c r="U917" s="81"/>
      <c r="V917" s="81"/>
      <c r="W917" s="81"/>
      <c r="X917" s="81"/>
      <c r="Y917" s="81"/>
      <c r="Z917" s="81"/>
      <c r="AA917" s="81"/>
      <c r="AB917" s="81"/>
      <c r="AC917" s="81"/>
      <c r="AD917" s="81"/>
      <c r="AE917" s="81"/>
      <c r="AF917" s="81"/>
    </row>
    <row r="918" spans="1:32">
      <c r="A918" s="76" t="s">
        <v>1652</v>
      </c>
      <c r="B918" s="79">
        <f>B909*2*1.1</f>
        <v>53680.000000000007</v>
      </c>
      <c r="C918" s="79">
        <f t="shared" ref="C918:I918" si="1522">C909*2*1.1</f>
        <v>61380.000000000007</v>
      </c>
      <c r="D918" s="79">
        <f t="shared" si="1522"/>
        <v>69080</v>
      </c>
      <c r="E918" s="79">
        <f t="shared" si="1522"/>
        <v>76670</v>
      </c>
      <c r="F918" s="79">
        <f t="shared" si="1522"/>
        <v>82830</v>
      </c>
      <c r="G918" s="79">
        <f t="shared" si="1522"/>
        <v>88990</v>
      </c>
      <c r="H918" s="79">
        <f t="shared" si="1522"/>
        <v>95150.000000000015</v>
      </c>
      <c r="I918" s="79">
        <f t="shared" si="1522"/>
        <v>101310.00000000001</v>
      </c>
      <c r="J918" s="80">
        <f t="shared" ref="J918:J926" si="1523">TRUNC(B918/12*0.3)</f>
        <v>1342</v>
      </c>
      <c r="K918" s="80">
        <f t="shared" ref="K918:K926" si="1524">TRUNC((B918+C918)/2/12*0.3)</f>
        <v>1438</v>
      </c>
      <c r="L918" s="80">
        <f t="shared" ref="L918:L926" si="1525">TRUNC((D918)/12*0.3)</f>
        <v>1727</v>
      </c>
      <c r="M918" s="80">
        <f t="shared" ref="M918:M926" si="1526">TRUNC(((E918+F918)/2)/12*0.3)</f>
        <v>1993</v>
      </c>
      <c r="N918" s="80">
        <f t="shared" ref="N918:N926" si="1527">TRUNC(G918/12*0.3)</f>
        <v>2224</v>
      </c>
      <c r="O918" s="80">
        <f t="shared" ref="O918:O926" si="1528">TRUNC(((H918+I918)/2)/12*0.3)</f>
        <v>2455</v>
      </c>
      <c r="P918" s="81"/>
      <c r="Q918" s="81"/>
      <c r="R918" s="81"/>
      <c r="S918" s="81"/>
      <c r="T918" s="81"/>
      <c r="U918" s="81"/>
      <c r="V918" s="81"/>
      <c r="W918" s="81"/>
      <c r="X918" s="81"/>
      <c r="Y918" s="81"/>
      <c r="Z918" s="81"/>
      <c r="AA918" s="81"/>
      <c r="AB918" s="81"/>
      <c r="AC918" s="81"/>
      <c r="AD918" s="81"/>
      <c r="AE918" s="81"/>
      <c r="AF918" s="81"/>
    </row>
    <row r="919" spans="1:32">
      <c r="A919" s="76" t="s">
        <v>1653</v>
      </c>
      <c r="B919" s="79">
        <f>B909*2*1.2</f>
        <v>58560</v>
      </c>
      <c r="C919" s="79">
        <f t="shared" ref="C919:I919" si="1529">C909*2*1.2</f>
        <v>66960</v>
      </c>
      <c r="D919" s="79">
        <f t="shared" si="1529"/>
        <v>75360</v>
      </c>
      <c r="E919" s="79">
        <f t="shared" si="1529"/>
        <v>83640</v>
      </c>
      <c r="F919" s="79">
        <f t="shared" si="1529"/>
        <v>90360</v>
      </c>
      <c r="G919" s="79">
        <f t="shared" si="1529"/>
        <v>97080</v>
      </c>
      <c r="H919" s="79">
        <f t="shared" si="1529"/>
        <v>103800</v>
      </c>
      <c r="I919" s="79">
        <f t="shared" si="1529"/>
        <v>110520</v>
      </c>
      <c r="J919" s="80">
        <f t="shared" si="1523"/>
        <v>1464</v>
      </c>
      <c r="K919" s="80">
        <f t="shared" si="1524"/>
        <v>1569</v>
      </c>
      <c r="L919" s="80">
        <f t="shared" si="1525"/>
        <v>1884</v>
      </c>
      <c r="M919" s="80">
        <f t="shared" si="1526"/>
        <v>2175</v>
      </c>
      <c r="N919" s="80">
        <f t="shared" si="1527"/>
        <v>2427</v>
      </c>
      <c r="O919" s="80">
        <f t="shared" si="1528"/>
        <v>2679</v>
      </c>
      <c r="P919" s="81"/>
      <c r="Q919" s="81"/>
      <c r="R919" s="81"/>
      <c r="S919" s="81"/>
      <c r="T919" s="81"/>
      <c r="U919" s="81"/>
      <c r="V919" s="81"/>
      <c r="W919" s="81"/>
      <c r="X919" s="81"/>
      <c r="Y919" s="81"/>
      <c r="Z919" s="81"/>
      <c r="AA919" s="81"/>
      <c r="AB919" s="81"/>
      <c r="AC919" s="81"/>
      <c r="AD919" s="81"/>
      <c r="AE919" s="81"/>
      <c r="AF919" s="81"/>
    </row>
    <row r="920" spans="1:32">
      <c r="A920" s="76" t="s">
        <v>1654</v>
      </c>
      <c r="B920" s="79">
        <f>B927*2*0.15</f>
        <v>7320</v>
      </c>
      <c r="C920" s="79">
        <f>C927*2*0.15</f>
        <v>8370</v>
      </c>
      <c r="D920" s="79">
        <f>D927*2*0.15</f>
        <v>9420</v>
      </c>
      <c r="E920" s="79">
        <f>E927*2*0.15</f>
        <v>10455</v>
      </c>
      <c r="F920" s="79">
        <f>F927*2*0.15</f>
        <v>11295</v>
      </c>
      <c r="G920" s="79">
        <f t="shared" ref="G920:I920" si="1530">G927*2*0.15</f>
        <v>12135</v>
      </c>
      <c r="H920" s="79">
        <f t="shared" si="1530"/>
        <v>12975</v>
      </c>
      <c r="I920" s="79">
        <f t="shared" si="1530"/>
        <v>13815</v>
      </c>
      <c r="J920" s="80">
        <f t="shared" si="1523"/>
        <v>183</v>
      </c>
      <c r="K920" s="80">
        <f t="shared" si="1524"/>
        <v>196</v>
      </c>
      <c r="L920" s="80">
        <f t="shared" si="1525"/>
        <v>235</v>
      </c>
      <c r="M920" s="80">
        <f t="shared" si="1526"/>
        <v>271</v>
      </c>
      <c r="N920" s="80">
        <f t="shared" si="1527"/>
        <v>303</v>
      </c>
      <c r="O920" s="80">
        <f t="shared" si="1528"/>
        <v>334</v>
      </c>
      <c r="P920" s="81"/>
      <c r="Q920" s="81"/>
      <c r="R920" s="81"/>
      <c r="S920" s="81"/>
      <c r="T920" s="81"/>
      <c r="U920" s="81"/>
      <c r="V920" s="81"/>
      <c r="W920" s="81"/>
      <c r="X920" s="81"/>
      <c r="Y920" s="81"/>
      <c r="Z920" s="81"/>
      <c r="AA920" s="81"/>
      <c r="AB920" s="81"/>
      <c r="AC920" s="81"/>
      <c r="AD920" s="81"/>
      <c r="AE920" s="81"/>
      <c r="AF920" s="81"/>
    </row>
    <row r="921" spans="1:32">
      <c r="A921" s="76" t="s">
        <v>1655</v>
      </c>
      <c r="B921" s="79">
        <f>B927*2*0.2</f>
        <v>9760</v>
      </c>
      <c r="C921" s="79">
        <f t="shared" ref="C921:I921" si="1531">C927*2*0.2</f>
        <v>11160</v>
      </c>
      <c r="D921" s="79">
        <f t="shared" si="1531"/>
        <v>12560</v>
      </c>
      <c r="E921" s="79">
        <f t="shared" si="1531"/>
        <v>13940</v>
      </c>
      <c r="F921" s="79">
        <f t="shared" si="1531"/>
        <v>15060</v>
      </c>
      <c r="G921" s="79">
        <f t="shared" si="1531"/>
        <v>16180</v>
      </c>
      <c r="H921" s="79">
        <f t="shared" si="1531"/>
        <v>17300</v>
      </c>
      <c r="I921" s="79">
        <f t="shared" si="1531"/>
        <v>18420</v>
      </c>
      <c r="J921" s="80">
        <f t="shared" si="1523"/>
        <v>244</v>
      </c>
      <c r="K921" s="80">
        <f t="shared" si="1524"/>
        <v>261</v>
      </c>
      <c r="L921" s="80">
        <f t="shared" si="1525"/>
        <v>314</v>
      </c>
      <c r="M921" s="80">
        <f t="shared" si="1526"/>
        <v>362</v>
      </c>
      <c r="N921" s="80">
        <f t="shared" si="1527"/>
        <v>404</v>
      </c>
      <c r="O921" s="80">
        <f t="shared" si="1528"/>
        <v>446</v>
      </c>
      <c r="P921" s="81"/>
      <c r="Q921" s="81"/>
      <c r="R921" s="81"/>
      <c r="S921" s="81"/>
      <c r="T921" s="81"/>
      <c r="U921" s="81"/>
      <c r="V921" s="81"/>
      <c r="W921" s="81"/>
      <c r="X921" s="81"/>
      <c r="Y921" s="81"/>
      <c r="Z921" s="81"/>
      <c r="AA921" s="81"/>
      <c r="AB921" s="81"/>
      <c r="AC921" s="81"/>
      <c r="AD921" s="81"/>
      <c r="AE921" s="81"/>
      <c r="AF921" s="81"/>
    </row>
    <row r="922" spans="1:32">
      <c r="A922" s="76" t="s">
        <v>1656</v>
      </c>
      <c r="B922" s="79">
        <f>B927*2*0.25</f>
        <v>12200</v>
      </c>
      <c r="C922" s="79">
        <f t="shared" ref="C922:I922" si="1532">C927*2*0.25</f>
        <v>13950</v>
      </c>
      <c r="D922" s="79">
        <f t="shared" si="1532"/>
        <v>15700</v>
      </c>
      <c r="E922" s="79">
        <f t="shared" si="1532"/>
        <v>17425</v>
      </c>
      <c r="F922" s="79">
        <f t="shared" si="1532"/>
        <v>18825</v>
      </c>
      <c r="G922" s="79">
        <f t="shared" si="1532"/>
        <v>20225</v>
      </c>
      <c r="H922" s="79">
        <f t="shared" si="1532"/>
        <v>21625</v>
      </c>
      <c r="I922" s="79">
        <f t="shared" si="1532"/>
        <v>23025</v>
      </c>
      <c r="J922" s="80">
        <f t="shared" si="1523"/>
        <v>305</v>
      </c>
      <c r="K922" s="80">
        <f t="shared" si="1524"/>
        <v>326</v>
      </c>
      <c r="L922" s="80">
        <f t="shared" si="1525"/>
        <v>392</v>
      </c>
      <c r="M922" s="80">
        <f t="shared" si="1526"/>
        <v>453</v>
      </c>
      <c r="N922" s="80">
        <f t="shared" si="1527"/>
        <v>505</v>
      </c>
      <c r="O922" s="80">
        <f t="shared" si="1528"/>
        <v>558</v>
      </c>
      <c r="P922" s="81"/>
      <c r="Q922" s="81"/>
      <c r="R922" s="81"/>
      <c r="S922" s="81"/>
      <c r="T922" s="81"/>
      <c r="U922" s="81"/>
      <c r="V922" s="81"/>
      <c r="W922" s="81"/>
      <c r="X922" s="81"/>
      <c r="Y922" s="81"/>
      <c r="Z922" s="81"/>
      <c r="AA922" s="81"/>
      <c r="AB922" s="81"/>
      <c r="AC922" s="81"/>
      <c r="AD922" s="81"/>
      <c r="AE922" s="81"/>
      <c r="AF922" s="81"/>
    </row>
    <row r="923" spans="1:32">
      <c r="A923" s="76" t="s">
        <v>1657</v>
      </c>
      <c r="B923" s="79">
        <f>B927*2*0.3</f>
        <v>14640</v>
      </c>
      <c r="C923" s="79">
        <f t="shared" ref="C923:I923" si="1533">C927*2*0.3</f>
        <v>16740</v>
      </c>
      <c r="D923" s="79">
        <f t="shared" si="1533"/>
        <v>18840</v>
      </c>
      <c r="E923" s="79">
        <f t="shared" si="1533"/>
        <v>20910</v>
      </c>
      <c r="F923" s="79">
        <f t="shared" si="1533"/>
        <v>22590</v>
      </c>
      <c r="G923" s="79">
        <f t="shared" si="1533"/>
        <v>24270</v>
      </c>
      <c r="H923" s="79">
        <f t="shared" si="1533"/>
        <v>25950</v>
      </c>
      <c r="I923" s="79">
        <f t="shared" si="1533"/>
        <v>27630</v>
      </c>
      <c r="J923" s="80">
        <f t="shared" si="1523"/>
        <v>366</v>
      </c>
      <c r="K923" s="80">
        <f t="shared" si="1524"/>
        <v>392</v>
      </c>
      <c r="L923" s="80">
        <f t="shared" si="1525"/>
        <v>471</v>
      </c>
      <c r="M923" s="80">
        <f t="shared" si="1526"/>
        <v>543</v>
      </c>
      <c r="N923" s="80">
        <f t="shared" si="1527"/>
        <v>606</v>
      </c>
      <c r="O923" s="80">
        <f t="shared" si="1528"/>
        <v>669</v>
      </c>
      <c r="P923" s="81"/>
      <c r="Q923" s="81"/>
      <c r="R923" s="81"/>
      <c r="S923" s="81"/>
      <c r="T923" s="81"/>
      <c r="U923" s="81"/>
      <c r="V923" s="81"/>
      <c r="W923" s="81"/>
      <c r="X923" s="81"/>
      <c r="Y923" s="81"/>
      <c r="Z923" s="81"/>
      <c r="AA923" s="81"/>
      <c r="AB923" s="81"/>
      <c r="AC923" s="81"/>
      <c r="AD923" s="81"/>
      <c r="AE923" s="81"/>
      <c r="AF923" s="81"/>
    </row>
    <row r="924" spans="1:32">
      <c r="A924" s="76" t="s">
        <v>1658</v>
      </c>
      <c r="B924" s="79">
        <f>B927*2*0.35</f>
        <v>17080</v>
      </c>
      <c r="C924" s="79">
        <f t="shared" ref="C924:I924" si="1534">C927*2*0.35</f>
        <v>19530</v>
      </c>
      <c r="D924" s="79">
        <f t="shared" si="1534"/>
        <v>21980</v>
      </c>
      <c r="E924" s="79">
        <f t="shared" si="1534"/>
        <v>24395</v>
      </c>
      <c r="F924" s="79">
        <f t="shared" si="1534"/>
        <v>26355</v>
      </c>
      <c r="G924" s="79">
        <f t="shared" si="1534"/>
        <v>28315</v>
      </c>
      <c r="H924" s="79">
        <f t="shared" si="1534"/>
        <v>30274.999999999996</v>
      </c>
      <c r="I924" s="79">
        <f t="shared" si="1534"/>
        <v>32234.999999999996</v>
      </c>
      <c r="J924" s="80">
        <f t="shared" si="1523"/>
        <v>427</v>
      </c>
      <c r="K924" s="80">
        <f t="shared" si="1524"/>
        <v>457</v>
      </c>
      <c r="L924" s="80">
        <f t="shared" si="1525"/>
        <v>549</v>
      </c>
      <c r="M924" s="80">
        <f t="shared" si="1526"/>
        <v>634</v>
      </c>
      <c r="N924" s="80">
        <f t="shared" si="1527"/>
        <v>707</v>
      </c>
      <c r="O924" s="80">
        <f t="shared" si="1528"/>
        <v>781</v>
      </c>
      <c r="P924" s="81"/>
      <c r="Q924" s="81"/>
      <c r="R924" s="81"/>
      <c r="S924" s="81"/>
      <c r="T924" s="81"/>
      <c r="U924" s="81"/>
      <c r="V924" s="81"/>
      <c r="W924" s="81"/>
      <c r="X924" s="81"/>
      <c r="Y924" s="81"/>
      <c r="Z924" s="81"/>
      <c r="AA924" s="81"/>
      <c r="AB924" s="81"/>
      <c r="AC924" s="81"/>
      <c r="AD924" s="81"/>
      <c r="AE924" s="81"/>
      <c r="AF924" s="81"/>
    </row>
    <row r="925" spans="1:32">
      <c r="A925" s="76" t="s">
        <v>1659</v>
      </c>
      <c r="B925" s="79">
        <f>B927*2*0.4</f>
        <v>19520</v>
      </c>
      <c r="C925" s="79">
        <f t="shared" ref="C925:I925" si="1535">C927*2*0.4</f>
        <v>22320</v>
      </c>
      <c r="D925" s="79">
        <f t="shared" si="1535"/>
        <v>25120</v>
      </c>
      <c r="E925" s="79">
        <f t="shared" si="1535"/>
        <v>27880</v>
      </c>
      <c r="F925" s="79">
        <f t="shared" si="1535"/>
        <v>30120</v>
      </c>
      <c r="G925" s="79">
        <f t="shared" si="1535"/>
        <v>32360</v>
      </c>
      <c r="H925" s="79">
        <f t="shared" si="1535"/>
        <v>34600</v>
      </c>
      <c r="I925" s="79">
        <f t="shared" si="1535"/>
        <v>36840</v>
      </c>
      <c r="J925" s="80">
        <f t="shared" si="1523"/>
        <v>488</v>
      </c>
      <c r="K925" s="80">
        <f t="shared" si="1524"/>
        <v>523</v>
      </c>
      <c r="L925" s="80">
        <f t="shared" si="1525"/>
        <v>628</v>
      </c>
      <c r="M925" s="80">
        <f t="shared" si="1526"/>
        <v>725</v>
      </c>
      <c r="N925" s="80">
        <f t="shared" si="1527"/>
        <v>809</v>
      </c>
      <c r="O925" s="80">
        <f t="shared" si="1528"/>
        <v>893</v>
      </c>
      <c r="P925" s="81"/>
      <c r="Q925" s="81"/>
      <c r="R925" s="81"/>
      <c r="S925" s="81"/>
      <c r="T925" s="81"/>
      <c r="U925" s="81"/>
      <c r="V925" s="81"/>
      <c r="W925" s="81"/>
      <c r="X925" s="81"/>
      <c r="Y925" s="81"/>
      <c r="Z925" s="81"/>
      <c r="AA925" s="81"/>
      <c r="AB925" s="81"/>
      <c r="AC925" s="81"/>
      <c r="AD925" s="81"/>
      <c r="AE925" s="81"/>
      <c r="AF925" s="81"/>
    </row>
    <row r="926" spans="1:32">
      <c r="A926" s="76" t="s">
        <v>1660</v>
      </c>
      <c r="B926" s="79">
        <f>B927*2*0.45</f>
        <v>21960</v>
      </c>
      <c r="C926" s="79">
        <f t="shared" ref="C926:I926" si="1536">C927*2*0.45</f>
        <v>25110</v>
      </c>
      <c r="D926" s="79">
        <f t="shared" si="1536"/>
        <v>28260</v>
      </c>
      <c r="E926" s="79">
        <f t="shared" si="1536"/>
        <v>31365</v>
      </c>
      <c r="F926" s="79">
        <f t="shared" si="1536"/>
        <v>33885</v>
      </c>
      <c r="G926" s="79">
        <f t="shared" si="1536"/>
        <v>36405</v>
      </c>
      <c r="H926" s="79">
        <f t="shared" si="1536"/>
        <v>38925</v>
      </c>
      <c r="I926" s="79">
        <f t="shared" si="1536"/>
        <v>41445</v>
      </c>
      <c r="J926" s="80">
        <f t="shared" si="1523"/>
        <v>549</v>
      </c>
      <c r="K926" s="80">
        <f t="shared" si="1524"/>
        <v>588</v>
      </c>
      <c r="L926" s="80">
        <f t="shared" si="1525"/>
        <v>706</v>
      </c>
      <c r="M926" s="80">
        <f t="shared" si="1526"/>
        <v>815</v>
      </c>
      <c r="N926" s="80">
        <f t="shared" si="1527"/>
        <v>910</v>
      </c>
      <c r="O926" s="80">
        <f t="shared" si="1528"/>
        <v>1004</v>
      </c>
      <c r="P926" s="81"/>
      <c r="Q926" s="81"/>
      <c r="R926" s="81"/>
      <c r="S926" s="81"/>
      <c r="T926" s="81"/>
      <c r="U926" s="81"/>
      <c r="V926" s="81"/>
      <c r="W926" s="81"/>
      <c r="X926" s="81"/>
      <c r="Y926" s="81"/>
      <c r="Z926" s="81"/>
      <c r="AA926" s="81"/>
      <c r="AB926" s="81"/>
      <c r="AC926" s="81"/>
      <c r="AD926" s="81"/>
      <c r="AE926" s="81"/>
      <c r="AF926" s="81"/>
    </row>
    <row r="927" spans="1:32">
      <c r="A927" s="82" t="s">
        <v>1661</v>
      </c>
      <c r="B927" s="84">
        <f>'MTSP 50% Income Limits '!B53</f>
        <v>24400</v>
      </c>
      <c r="C927" s="84">
        <f>'MTSP 50% Income Limits '!C53</f>
        <v>27900</v>
      </c>
      <c r="D927" s="84">
        <f>'MTSP 50% Income Limits '!D53</f>
        <v>31400</v>
      </c>
      <c r="E927" s="84">
        <f>'MTSP 50% Income Limits '!E53</f>
        <v>34850</v>
      </c>
      <c r="F927" s="84">
        <f>'MTSP 50% Income Limits '!F53</f>
        <v>37650</v>
      </c>
      <c r="G927" s="84">
        <f>'MTSP 50% Income Limits '!G53</f>
        <v>40450</v>
      </c>
      <c r="H927" s="84">
        <f>'MTSP 50% Income Limits '!H53</f>
        <v>43250</v>
      </c>
      <c r="I927" s="84">
        <f>'MTSP 50% Income Limits '!I53</f>
        <v>46050</v>
      </c>
      <c r="J927" s="83">
        <f>TRUNC(B927/12*0.3)</f>
        <v>610</v>
      </c>
      <c r="K927" s="83">
        <f>TRUNC((B927+C927)/2/12*0.3)</f>
        <v>653</v>
      </c>
      <c r="L927" s="83">
        <f>TRUNC((D927)/12*0.3)</f>
        <v>785</v>
      </c>
      <c r="M927" s="83">
        <f>TRUNC(((E927+F927)/2)/12*0.3)</f>
        <v>906</v>
      </c>
      <c r="N927" s="83">
        <f>TRUNC(G927/12*0.3)</f>
        <v>1011</v>
      </c>
      <c r="O927" s="83">
        <f>TRUNC(((H927+I927)/2)/12*0.3)</f>
        <v>1116</v>
      </c>
      <c r="P927" s="81"/>
      <c r="Q927" s="81"/>
      <c r="R927" s="81"/>
      <c r="S927" s="81"/>
      <c r="T927" s="81"/>
      <c r="U927" s="81"/>
      <c r="V927" s="81"/>
      <c r="W927" s="81"/>
      <c r="X927" s="81"/>
      <c r="Y927" s="81"/>
      <c r="Z927" s="81"/>
      <c r="AA927" s="81"/>
      <c r="AB927" s="81"/>
      <c r="AC927" s="81"/>
      <c r="AD927" s="81"/>
      <c r="AE927" s="81"/>
      <c r="AF927" s="81"/>
    </row>
    <row r="928" spans="1:32">
      <c r="A928" s="76" t="s">
        <v>1662</v>
      </c>
      <c r="B928" s="79">
        <f>B927*2*0.55</f>
        <v>26840.000000000004</v>
      </c>
      <c r="C928" s="79">
        <f t="shared" ref="C928:I928" si="1537">C927*2*0.55</f>
        <v>30690.000000000004</v>
      </c>
      <c r="D928" s="79">
        <f t="shared" si="1537"/>
        <v>34540</v>
      </c>
      <c r="E928" s="79">
        <f t="shared" si="1537"/>
        <v>38335</v>
      </c>
      <c r="F928" s="79">
        <f t="shared" si="1537"/>
        <v>41415</v>
      </c>
      <c r="G928" s="79">
        <f t="shared" si="1537"/>
        <v>44495</v>
      </c>
      <c r="H928" s="79">
        <f t="shared" si="1537"/>
        <v>47575.000000000007</v>
      </c>
      <c r="I928" s="79">
        <f t="shared" si="1537"/>
        <v>50655.000000000007</v>
      </c>
      <c r="J928" s="80">
        <f t="shared" ref="J928:J934" si="1538">TRUNC(B928/12*0.3)</f>
        <v>671</v>
      </c>
      <c r="K928" s="80">
        <f t="shared" ref="K928:K934" si="1539">TRUNC((B928+C928)/2/12*0.3)</f>
        <v>719</v>
      </c>
      <c r="L928" s="80">
        <f t="shared" ref="L928:L934" si="1540">TRUNC((D928)/12*0.3)</f>
        <v>863</v>
      </c>
      <c r="M928" s="80">
        <f t="shared" ref="M928:M934" si="1541">TRUNC(((E928+F928)/2)/12*0.3)</f>
        <v>996</v>
      </c>
      <c r="N928" s="80">
        <f t="shared" ref="N928:N934" si="1542">TRUNC(G928/12*0.3)</f>
        <v>1112</v>
      </c>
      <c r="O928" s="80">
        <f t="shared" ref="O928:O934" si="1543">TRUNC(((H928+I928)/2)/12*0.3)</f>
        <v>1227</v>
      </c>
      <c r="P928" s="81"/>
      <c r="Q928" s="81"/>
      <c r="R928" s="81"/>
      <c r="S928" s="81"/>
      <c r="T928" s="81"/>
      <c r="U928" s="81"/>
      <c r="V928" s="81"/>
      <c r="W928" s="81"/>
      <c r="X928" s="81"/>
      <c r="Y928" s="81"/>
      <c r="Z928" s="81"/>
      <c r="AA928" s="81"/>
      <c r="AB928" s="81"/>
      <c r="AC928" s="81"/>
      <c r="AD928" s="81"/>
      <c r="AE928" s="81"/>
      <c r="AF928" s="81"/>
    </row>
    <row r="929" spans="1:32">
      <c r="A929" s="76" t="s">
        <v>1663</v>
      </c>
      <c r="B929" s="79">
        <f>B927*2*0.6</f>
        <v>29280</v>
      </c>
      <c r="C929" s="79">
        <f t="shared" ref="C929:I929" si="1544">C927*2*0.6</f>
        <v>33480</v>
      </c>
      <c r="D929" s="79">
        <f t="shared" si="1544"/>
        <v>37680</v>
      </c>
      <c r="E929" s="79">
        <f t="shared" si="1544"/>
        <v>41820</v>
      </c>
      <c r="F929" s="79">
        <f t="shared" si="1544"/>
        <v>45180</v>
      </c>
      <c r="G929" s="79">
        <f t="shared" si="1544"/>
        <v>48540</v>
      </c>
      <c r="H929" s="79">
        <f t="shared" si="1544"/>
        <v>51900</v>
      </c>
      <c r="I929" s="79">
        <f t="shared" si="1544"/>
        <v>55260</v>
      </c>
      <c r="J929" s="80">
        <f t="shared" si="1538"/>
        <v>732</v>
      </c>
      <c r="K929" s="80">
        <f t="shared" si="1539"/>
        <v>784</v>
      </c>
      <c r="L929" s="80">
        <f t="shared" si="1540"/>
        <v>942</v>
      </c>
      <c r="M929" s="80">
        <f t="shared" si="1541"/>
        <v>1087</v>
      </c>
      <c r="N929" s="80">
        <f t="shared" si="1542"/>
        <v>1213</v>
      </c>
      <c r="O929" s="80">
        <f t="shared" si="1543"/>
        <v>1339</v>
      </c>
      <c r="P929" s="81"/>
      <c r="Q929" s="81"/>
      <c r="R929" s="81"/>
      <c r="S929" s="81"/>
      <c r="T929" s="81"/>
      <c r="U929" s="81"/>
      <c r="V929" s="81"/>
      <c r="W929" s="81"/>
      <c r="X929" s="81"/>
      <c r="Y929" s="81"/>
      <c r="Z929" s="81"/>
      <c r="AA929" s="81"/>
      <c r="AB929" s="81"/>
      <c r="AC929" s="81"/>
      <c r="AD929" s="81"/>
      <c r="AE929" s="81"/>
      <c r="AF929" s="81"/>
    </row>
    <row r="930" spans="1:32">
      <c r="A930" s="76" t="s">
        <v>1664</v>
      </c>
      <c r="B930" s="79">
        <f>B927*2*0.65</f>
        <v>31720</v>
      </c>
      <c r="C930" s="79">
        <f t="shared" ref="C930:I930" si="1545">C927*2*0.65</f>
        <v>36270</v>
      </c>
      <c r="D930" s="79">
        <f t="shared" si="1545"/>
        <v>40820</v>
      </c>
      <c r="E930" s="79">
        <f t="shared" si="1545"/>
        <v>45305</v>
      </c>
      <c r="F930" s="79">
        <f t="shared" si="1545"/>
        <v>48945</v>
      </c>
      <c r="G930" s="79">
        <f t="shared" si="1545"/>
        <v>52585</v>
      </c>
      <c r="H930" s="79">
        <f t="shared" si="1545"/>
        <v>56225</v>
      </c>
      <c r="I930" s="79">
        <f t="shared" si="1545"/>
        <v>59865</v>
      </c>
      <c r="J930" s="80">
        <f t="shared" si="1538"/>
        <v>793</v>
      </c>
      <c r="K930" s="80">
        <f t="shared" si="1539"/>
        <v>849</v>
      </c>
      <c r="L930" s="80">
        <f t="shared" si="1540"/>
        <v>1020</v>
      </c>
      <c r="M930" s="80">
        <f t="shared" si="1541"/>
        <v>1178</v>
      </c>
      <c r="N930" s="80">
        <f t="shared" si="1542"/>
        <v>1314</v>
      </c>
      <c r="O930" s="80">
        <f t="shared" si="1543"/>
        <v>1451</v>
      </c>
      <c r="P930" s="81"/>
      <c r="Q930" s="81"/>
      <c r="R930" s="81"/>
      <c r="S930" s="81"/>
      <c r="T930" s="81"/>
      <c r="U930" s="81"/>
      <c r="V930" s="81"/>
      <c r="W930" s="81"/>
      <c r="X930" s="81"/>
      <c r="Y930" s="81"/>
      <c r="Z930" s="81"/>
      <c r="AA930" s="81"/>
      <c r="AB930" s="81"/>
      <c r="AC930" s="81"/>
      <c r="AD930" s="81"/>
      <c r="AE930" s="81"/>
      <c r="AF930" s="81"/>
    </row>
    <row r="931" spans="1:32">
      <c r="A931" s="76" t="s">
        <v>1665</v>
      </c>
      <c r="B931" s="79">
        <f>B927*2*0.7</f>
        <v>34160</v>
      </c>
      <c r="C931" s="79">
        <f t="shared" ref="C931:I931" si="1546">C927*2*0.7</f>
        <v>39060</v>
      </c>
      <c r="D931" s="79">
        <f t="shared" si="1546"/>
        <v>43960</v>
      </c>
      <c r="E931" s="79">
        <f t="shared" si="1546"/>
        <v>48790</v>
      </c>
      <c r="F931" s="79">
        <f t="shared" si="1546"/>
        <v>52710</v>
      </c>
      <c r="G931" s="79">
        <f t="shared" si="1546"/>
        <v>56630</v>
      </c>
      <c r="H931" s="79">
        <f t="shared" si="1546"/>
        <v>60549.999999999993</v>
      </c>
      <c r="I931" s="79">
        <f t="shared" si="1546"/>
        <v>64469.999999999993</v>
      </c>
      <c r="J931" s="80">
        <f t="shared" si="1538"/>
        <v>854</v>
      </c>
      <c r="K931" s="80">
        <f t="shared" si="1539"/>
        <v>915</v>
      </c>
      <c r="L931" s="80">
        <f t="shared" si="1540"/>
        <v>1099</v>
      </c>
      <c r="M931" s="80">
        <f t="shared" si="1541"/>
        <v>1268</v>
      </c>
      <c r="N931" s="80">
        <f t="shared" si="1542"/>
        <v>1415</v>
      </c>
      <c r="O931" s="80">
        <f t="shared" si="1543"/>
        <v>1562</v>
      </c>
      <c r="P931" s="81"/>
      <c r="Q931" s="81"/>
      <c r="R931" s="81"/>
      <c r="S931" s="81"/>
      <c r="T931" s="81"/>
      <c r="U931" s="81"/>
      <c r="V931" s="81"/>
      <c r="W931" s="81"/>
      <c r="X931" s="81"/>
      <c r="Y931" s="81"/>
      <c r="Z931" s="81"/>
      <c r="AA931" s="81"/>
      <c r="AB931" s="81"/>
      <c r="AC931" s="81"/>
      <c r="AD931" s="81"/>
      <c r="AE931" s="81"/>
      <c r="AF931" s="81"/>
    </row>
    <row r="932" spans="1:32">
      <c r="A932" s="76" t="s">
        <v>1666</v>
      </c>
      <c r="B932" s="79">
        <f>B927*2*0.75</f>
        <v>36600</v>
      </c>
      <c r="C932" s="79">
        <f t="shared" ref="C932:I932" si="1547">C927*2*0.75</f>
        <v>41850</v>
      </c>
      <c r="D932" s="79">
        <f t="shared" si="1547"/>
        <v>47100</v>
      </c>
      <c r="E932" s="79">
        <f t="shared" si="1547"/>
        <v>52275</v>
      </c>
      <c r="F932" s="79">
        <f t="shared" si="1547"/>
        <v>56475</v>
      </c>
      <c r="G932" s="79">
        <f t="shared" si="1547"/>
        <v>60675</v>
      </c>
      <c r="H932" s="79">
        <f t="shared" si="1547"/>
        <v>64875</v>
      </c>
      <c r="I932" s="79">
        <f t="shared" si="1547"/>
        <v>69075</v>
      </c>
      <c r="J932" s="80">
        <f t="shared" si="1538"/>
        <v>915</v>
      </c>
      <c r="K932" s="80">
        <f t="shared" si="1539"/>
        <v>980</v>
      </c>
      <c r="L932" s="80">
        <f t="shared" si="1540"/>
        <v>1177</v>
      </c>
      <c r="M932" s="80">
        <f t="shared" si="1541"/>
        <v>1359</v>
      </c>
      <c r="N932" s="80">
        <f t="shared" si="1542"/>
        <v>1516</v>
      </c>
      <c r="O932" s="80">
        <f t="shared" si="1543"/>
        <v>1674</v>
      </c>
      <c r="P932" s="81"/>
      <c r="Q932" s="81"/>
      <c r="R932" s="81"/>
      <c r="S932" s="81"/>
      <c r="T932" s="81"/>
      <c r="U932" s="81"/>
      <c r="V932" s="81"/>
      <c r="W932" s="81"/>
      <c r="X932" s="81"/>
      <c r="Y932" s="81"/>
      <c r="Z932" s="81"/>
      <c r="AA932" s="81"/>
      <c r="AB932" s="81"/>
      <c r="AC932" s="81"/>
      <c r="AD932" s="81"/>
      <c r="AE932" s="81"/>
      <c r="AF932" s="81"/>
    </row>
    <row r="933" spans="1:32">
      <c r="A933" s="76" t="s">
        <v>1667</v>
      </c>
      <c r="B933" s="79">
        <f>B927*2*0.8</f>
        <v>39040</v>
      </c>
      <c r="C933" s="79">
        <f t="shared" ref="C933:I933" si="1548">C927*2*0.8</f>
        <v>44640</v>
      </c>
      <c r="D933" s="79">
        <f t="shared" si="1548"/>
        <v>50240</v>
      </c>
      <c r="E933" s="79">
        <f t="shared" si="1548"/>
        <v>55760</v>
      </c>
      <c r="F933" s="79">
        <f t="shared" si="1548"/>
        <v>60240</v>
      </c>
      <c r="G933" s="79">
        <f t="shared" si="1548"/>
        <v>64720</v>
      </c>
      <c r="H933" s="79">
        <f t="shared" si="1548"/>
        <v>69200</v>
      </c>
      <c r="I933" s="79">
        <f t="shared" si="1548"/>
        <v>73680</v>
      </c>
      <c r="J933" s="80">
        <f t="shared" si="1538"/>
        <v>976</v>
      </c>
      <c r="K933" s="80">
        <f t="shared" si="1539"/>
        <v>1046</v>
      </c>
      <c r="L933" s="80">
        <f t="shared" si="1540"/>
        <v>1256</v>
      </c>
      <c r="M933" s="80">
        <f t="shared" si="1541"/>
        <v>1450</v>
      </c>
      <c r="N933" s="80">
        <f t="shared" si="1542"/>
        <v>1618</v>
      </c>
      <c r="O933" s="80">
        <f t="shared" si="1543"/>
        <v>1786</v>
      </c>
      <c r="P933" s="81"/>
      <c r="Q933" s="81"/>
      <c r="R933" s="81"/>
      <c r="S933" s="81"/>
      <c r="T933" s="81"/>
      <c r="U933" s="81"/>
      <c r="V933" s="81"/>
      <c r="W933" s="81"/>
      <c r="X933" s="81"/>
      <c r="Y933" s="81"/>
      <c r="Z933" s="81"/>
      <c r="AA933" s="81"/>
      <c r="AB933" s="81"/>
      <c r="AC933" s="81"/>
      <c r="AD933" s="81"/>
      <c r="AE933" s="81"/>
      <c r="AF933" s="81"/>
    </row>
    <row r="934" spans="1:32">
      <c r="A934" s="76" t="s">
        <v>1668</v>
      </c>
      <c r="B934" s="79">
        <f>B927*2*0.9</f>
        <v>43920</v>
      </c>
      <c r="C934" s="79">
        <f t="shared" ref="C934:I934" si="1549">C927*2*0.9</f>
        <v>50220</v>
      </c>
      <c r="D934" s="79">
        <f t="shared" si="1549"/>
        <v>56520</v>
      </c>
      <c r="E934" s="79">
        <f t="shared" si="1549"/>
        <v>62730</v>
      </c>
      <c r="F934" s="79">
        <f t="shared" si="1549"/>
        <v>67770</v>
      </c>
      <c r="G934" s="79">
        <f t="shared" si="1549"/>
        <v>72810</v>
      </c>
      <c r="H934" s="79">
        <f t="shared" si="1549"/>
        <v>77850</v>
      </c>
      <c r="I934" s="79">
        <f t="shared" si="1549"/>
        <v>82890</v>
      </c>
      <c r="J934" s="80">
        <f t="shared" si="1538"/>
        <v>1098</v>
      </c>
      <c r="K934" s="80">
        <f t="shared" si="1539"/>
        <v>1176</v>
      </c>
      <c r="L934" s="80">
        <f t="shared" si="1540"/>
        <v>1413</v>
      </c>
      <c r="M934" s="80">
        <f t="shared" si="1541"/>
        <v>1631</v>
      </c>
      <c r="N934" s="80">
        <f t="shared" si="1542"/>
        <v>1820</v>
      </c>
      <c r="O934" s="80">
        <f t="shared" si="1543"/>
        <v>2009</v>
      </c>
      <c r="P934" s="81"/>
      <c r="Q934" s="81"/>
      <c r="R934" s="81"/>
      <c r="S934" s="81"/>
      <c r="T934" s="81"/>
      <c r="U934" s="81"/>
      <c r="V934" s="81"/>
      <c r="W934" s="81"/>
      <c r="X934" s="81"/>
      <c r="Y934" s="81"/>
      <c r="Z934" s="81"/>
      <c r="AA934" s="81"/>
      <c r="AB934" s="81"/>
      <c r="AC934" s="81"/>
      <c r="AD934" s="81"/>
      <c r="AE934" s="81"/>
      <c r="AF934" s="81"/>
    </row>
    <row r="935" spans="1:32">
      <c r="A935" s="76" t="s">
        <v>1669</v>
      </c>
      <c r="B935" s="79">
        <f>B927*2</f>
        <v>48800</v>
      </c>
      <c r="C935" s="79">
        <f t="shared" ref="C935:I935" si="1550">C927*2</f>
        <v>55800</v>
      </c>
      <c r="D935" s="79">
        <f t="shared" si="1550"/>
        <v>62800</v>
      </c>
      <c r="E935" s="79">
        <f t="shared" si="1550"/>
        <v>69700</v>
      </c>
      <c r="F935" s="79">
        <f t="shared" si="1550"/>
        <v>75300</v>
      </c>
      <c r="G935" s="79">
        <f t="shared" si="1550"/>
        <v>80900</v>
      </c>
      <c r="H935" s="79">
        <f t="shared" si="1550"/>
        <v>86500</v>
      </c>
      <c r="I935" s="79">
        <f t="shared" si="1550"/>
        <v>92100</v>
      </c>
      <c r="J935" s="80">
        <f>J927*2</f>
        <v>1220</v>
      </c>
      <c r="K935" s="80">
        <f t="shared" ref="K935:O935" si="1551">K927*2</f>
        <v>1306</v>
      </c>
      <c r="L935" s="80">
        <f t="shared" si="1551"/>
        <v>1570</v>
      </c>
      <c r="M935" s="80">
        <f t="shared" si="1551"/>
        <v>1812</v>
      </c>
      <c r="N935" s="80">
        <f t="shared" si="1551"/>
        <v>2022</v>
      </c>
      <c r="O935" s="80">
        <f t="shared" si="1551"/>
        <v>2232</v>
      </c>
      <c r="P935" s="81"/>
      <c r="Q935" s="81"/>
      <c r="R935" s="81"/>
      <c r="S935" s="81"/>
      <c r="T935" s="81"/>
      <c r="U935" s="81"/>
      <c r="V935" s="81"/>
      <c r="W935" s="81"/>
      <c r="X935" s="81"/>
      <c r="Y935" s="81"/>
      <c r="Z935" s="81"/>
      <c r="AA935" s="81"/>
      <c r="AB935" s="81"/>
      <c r="AC935" s="81"/>
      <c r="AD935" s="81"/>
      <c r="AE935" s="81"/>
      <c r="AF935" s="81"/>
    </row>
    <row r="936" spans="1:32">
      <c r="A936" s="76" t="s">
        <v>1670</v>
      </c>
      <c r="B936" s="79">
        <f>B927*2*1.1</f>
        <v>53680.000000000007</v>
      </c>
      <c r="C936" s="79">
        <f t="shared" ref="C936:I936" si="1552">C927*2*1.1</f>
        <v>61380.000000000007</v>
      </c>
      <c r="D936" s="79">
        <f t="shared" si="1552"/>
        <v>69080</v>
      </c>
      <c r="E936" s="79">
        <f t="shared" si="1552"/>
        <v>76670</v>
      </c>
      <c r="F936" s="79">
        <f t="shared" si="1552"/>
        <v>82830</v>
      </c>
      <c r="G936" s="79">
        <f t="shared" si="1552"/>
        <v>88990</v>
      </c>
      <c r="H936" s="79">
        <f t="shared" si="1552"/>
        <v>95150.000000000015</v>
      </c>
      <c r="I936" s="79">
        <f t="shared" si="1552"/>
        <v>101310.00000000001</v>
      </c>
      <c r="J936" s="80">
        <f t="shared" ref="J936:J944" si="1553">TRUNC(B936/12*0.3)</f>
        <v>1342</v>
      </c>
      <c r="K936" s="80">
        <f t="shared" ref="K936:K944" si="1554">TRUNC((B936+C936)/2/12*0.3)</f>
        <v>1438</v>
      </c>
      <c r="L936" s="80">
        <f t="shared" ref="L936:L944" si="1555">TRUNC((D936)/12*0.3)</f>
        <v>1727</v>
      </c>
      <c r="M936" s="80">
        <f t="shared" ref="M936:M944" si="1556">TRUNC(((E936+F936)/2)/12*0.3)</f>
        <v>1993</v>
      </c>
      <c r="N936" s="80">
        <f t="shared" ref="N936:N944" si="1557">TRUNC(G936/12*0.3)</f>
        <v>2224</v>
      </c>
      <c r="O936" s="80">
        <f t="shared" ref="O936:O944" si="1558">TRUNC(((H936+I936)/2)/12*0.3)</f>
        <v>2455</v>
      </c>
      <c r="P936" s="81"/>
      <c r="Q936" s="81"/>
      <c r="R936" s="81"/>
      <c r="S936" s="81"/>
      <c r="T936" s="81"/>
      <c r="U936" s="81"/>
      <c r="V936" s="81"/>
      <c r="W936" s="81"/>
      <c r="X936" s="81"/>
      <c r="Y936" s="81"/>
      <c r="Z936" s="81"/>
      <c r="AA936" s="81"/>
      <c r="AB936" s="81"/>
      <c r="AC936" s="81"/>
      <c r="AD936" s="81"/>
      <c r="AE936" s="81"/>
      <c r="AF936" s="81"/>
    </row>
    <row r="937" spans="1:32">
      <c r="A937" s="76" t="s">
        <v>1671</v>
      </c>
      <c r="B937" s="79">
        <f>B927*2*1.2</f>
        <v>58560</v>
      </c>
      <c r="C937" s="79">
        <f t="shared" ref="C937:I937" si="1559">C927*2*1.2</f>
        <v>66960</v>
      </c>
      <c r="D937" s="79">
        <f t="shared" si="1559"/>
        <v>75360</v>
      </c>
      <c r="E937" s="79">
        <f t="shared" si="1559"/>
        <v>83640</v>
      </c>
      <c r="F937" s="79">
        <f t="shared" si="1559"/>
        <v>90360</v>
      </c>
      <c r="G937" s="79">
        <f t="shared" si="1559"/>
        <v>97080</v>
      </c>
      <c r="H937" s="79">
        <f t="shared" si="1559"/>
        <v>103800</v>
      </c>
      <c r="I937" s="79">
        <f t="shared" si="1559"/>
        <v>110520</v>
      </c>
      <c r="J937" s="80">
        <f t="shared" si="1553"/>
        <v>1464</v>
      </c>
      <c r="K937" s="80">
        <f t="shared" si="1554"/>
        <v>1569</v>
      </c>
      <c r="L937" s="80">
        <f t="shared" si="1555"/>
        <v>1884</v>
      </c>
      <c r="M937" s="80">
        <f t="shared" si="1556"/>
        <v>2175</v>
      </c>
      <c r="N937" s="80">
        <f t="shared" si="1557"/>
        <v>2427</v>
      </c>
      <c r="O937" s="80">
        <f t="shared" si="1558"/>
        <v>2679</v>
      </c>
      <c r="P937" s="81"/>
      <c r="Q937" s="81"/>
      <c r="R937" s="81"/>
      <c r="S937" s="81"/>
      <c r="T937" s="81"/>
      <c r="U937" s="81"/>
      <c r="V937" s="81"/>
      <c r="W937" s="81"/>
      <c r="X937" s="81"/>
      <c r="Y937" s="81"/>
      <c r="Z937" s="81"/>
      <c r="AA937" s="81"/>
      <c r="AB937" s="81"/>
      <c r="AC937" s="81"/>
      <c r="AD937" s="81"/>
      <c r="AE937" s="81"/>
      <c r="AF937" s="81"/>
    </row>
    <row r="938" spans="1:32">
      <c r="A938" s="76" t="s">
        <v>1672</v>
      </c>
      <c r="B938" s="79">
        <f>B945*2*0.15</f>
        <v>7320</v>
      </c>
      <c r="C938" s="79">
        <f>C945*2*0.15</f>
        <v>8370</v>
      </c>
      <c r="D938" s="79">
        <f>D945*2*0.15</f>
        <v>9420</v>
      </c>
      <c r="E938" s="79">
        <f>E945*2*0.15</f>
        <v>10455</v>
      </c>
      <c r="F938" s="79">
        <f>F945*2*0.15</f>
        <v>11295</v>
      </c>
      <c r="G938" s="79">
        <f t="shared" ref="G938:I938" si="1560">G945*2*0.15</f>
        <v>12135</v>
      </c>
      <c r="H938" s="79">
        <f t="shared" si="1560"/>
        <v>12975</v>
      </c>
      <c r="I938" s="79">
        <f t="shared" si="1560"/>
        <v>13815</v>
      </c>
      <c r="J938" s="80">
        <f t="shared" si="1553"/>
        <v>183</v>
      </c>
      <c r="K938" s="80">
        <f t="shared" si="1554"/>
        <v>196</v>
      </c>
      <c r="L938" s="80">
        <f t="shared" si="1555"/>
        <v>235</v>
      </c>
      <c r="M938" s="80">
        <f t="shared" si="1556"/>
        <v>271</v>
      </c>
      <c r="N938" s="80">
        <f t="shared" si="1557"/>
        <v>303</v>
      </c>
      <c r="O938" s="80">
        <f t="shared" si="1558"/>
        <v>334</v>
      </c>
      <c r="P938" s="81"/>
      <c r="Q938" s="81"/>
      <c r="R938" s="81"/>
      <c r="S938" s="81"/>
      <c r="T938" s="81"/>
      <c r="U938" s="81"/>
      <c r="V938" s="81"/>
      <c r="W938" s="81"/>
      <c r="X938" s="81"/>
      <c r="Y938" s="81"/>
      <c r="Z938" s="81"/>
      <c r="AA938" s="81"/>
      <c r="AB938" s="81"/>
      <c r="AC938" s="81"/>
      <c r="AD938" s="81"/>
      <c r="AE938" s="81"/>
      <c r="AF938" s="81"/>
    </row>
    <row r="939" spans="1:32">
      <c r="A939" s="76" t="s">
        <v>1673</v>
      </c>
      <c r="B939" s="79">
        <f>B945*2*0.2</f>
        <v>9760</v>
      </c>
      <c r="C939" s="79">
        <f t="shared" ref="C939:I939" si="1561">C945*2*0.2</f>
        <v>11160</v>
      </c>
      <c r="D939" s="79">
        <f t="shared" si="1561"/>
        <v>12560</v>
      </c>
      <c r="E939" s="79">
        <f t="shared" si="1561"/>
        <v>13940</v>
      </c>
      <c r="F939" s="79">
        <f t="shared" si="1561"/>
        <v>15060</v>
      </c>
      <c r="G939" s="79">
        <f t="shared" si="1561"/>
        <v>16180</v>
      </c>
      <c r="H939" s="79">
        <f t="shared" si="1561"/>
        <v>17300</v>
      </c>
      <c r="I939" s="79">
        <f t="shared" si="1561"/>
        <v>18420</v>
      </c>
      <c r="J939" s="80">
        <f t="shared" si="1553"/>
        <v>244</v>
      </c>
      <c r="K939" s="80">
        <f t="shared" si="1554"/>
        <v>261</v>
      </c>
      <c r="L939" s="80">
        <f t="shared" si="1555"/>
        <v>314</v>
      </c>
      <c r="M939" s="80">
        <f t="shared" si="1556"/>
        <v>362</v>
      </c>
      <c r="N939" s="80">
        <f t="shared" si="1557"/>
        <v>404</v>
      </c>
      <c r="O939" s="80">
        <f t="shared" si="1558"/>
        <v>446</v>
      </c>
      <c r="P939" s="81"/>
      <c r="Q939" s="81"/>
      <c r="R939" s="81"/>
      <c r="S939" s="81"/>
      <c r="T939" s="81"/>
      <c r="U939" s="81"/>
      <c r="V939" s="81"/>
      <c r="W939" s="81"/>
      <c r="X939" s="81"/>
      <c r="Y939" s="81"/>
      <c r="Z939" s="81"/>
      <c r="AA939" s="81"/>
      <c r="AB939" s="81"/>
      <c r="AC939" s="81"/>
      <c r="AD939" s="81"/>
      <c r="AE939" s="81"/>
      <c r="AF939" s="81"/>
    </row>
    <row r="940" spans="1:32">
      <c r="A940" s="76" t="s">
        <v>1674</v>
      </c>
      <c r="B940" s="79">
        <f>B945*2*0.25</f>
        <v>12200</v>
      </c>
      <c r="C940" s="79">
        <f t="shared" ref="C940:I940" si="1562">C945*2*0.25</f>
        <v>13950</v>
      </c>
      <c r="D940" s="79">
        <f t="shared" si="1562"/>
        <v>15700</v>
      </c>
      <c r="E940" s="79">
        <f t="shared" si="1562"/>
        <v>17425</v>
      </c>
      <c r="F940" s="79">
        <f t="shared" si="1562"/>
        <v>18825</v>
      </c>
      <c r="G940" s="79">
        <f t="shared" si="1562"/>
        <v>20225</v>
      </c>
      <c r="H940" s="79">
        <f t="shared" si="1562"/>
        <v>21625</v>
      </c>
      <c r="I940" s="79">
        <f t="shared" si="1562"/>
        <v>23025</v>
      </c>
      <c r="J940" s="80">
        <f t="shared" si="1553"/>
        <v>305</v>
      </c>
      <c r="K940" s="80">
        <f t="shared" si="1554"/>
        <v>326</v>
      </c>
      <c r="L940" s="80">
        <f t="shared" si="1555"/>
        <v>392</v>
      </c>
      <c r="M940" s="80">
        <f t="shared" si="1556"/>
        <v>453</v>
      </c>
      <c r="N940" s="80">
        <f t="shared" si="1557"/>
        <v>505</v>
      </c>
      <c r="O940" s="80">
        <f t="shared" si="1558"/>
        <v>558</v>
      </c>
      <c r="P940" s="81"/>
      <c r="Q940" s="81"/>
      <c r="R940" s="81"/>
      <c r="S940" s="81"/>
      <c r="T940" s="81"/>
      <c r="U940" s="81"/>
      <c r="V940" s="81"/>
      <c r="W940" s="81"/>
      <c r="X940" s="81"/>
      <c r="Y940" s="81"/>
      <c r="Z940" s="81"/>
      <c r="AA940" s="81"/>
      <c r="AB940" s="81"/>
      <c r="AC940" s="81"/>
      <c r="AD940" s="81"/>
      <c r="AE940" s="81"/>
      <c r="AF940" s="81"/>
    </row>
    <row r="941" spans="1:32">
      <c r="A941" s="76" t="s">
        <v>1675</v>
      </c>
      <c r="B941" s="79">
        <f>B945*2*0.3</f>
        <v>14640</v>
      </c>
      <c r="C941" s="79">
        <f t="shared" ref="C941:I941" si="1563">C945*2*0.3</f>
        <v>16740</v>
      </c>
      <c r="D941" s="79">
        <f t="shared" si="1563"/>
        <v>18840</v>
      </c>
      <c r="E941" s="79">
        <f t="shared" si="1563"/>
        <v>20910</v>
      </c>
      <c r="F941" s="79">
        <f t="shared" si="1563"/>
        <v>22590</v>
      </c>
      <c r="G941" s="79">
        <f t="shared" si="1563"/>
        <v>24270</v>
      </c>
      <c r="H941" s="79">
        <f t="shared" si="1563"/>
        <v>25950</v>
      </c>
      <c r="I941" s="79">
        <f t="shared" si="1563"/>
        <v>27630</v>
      </c>
      <c r="J941" s="80">
        <f t="shared" si="1553"/>
        <v>366</v>
      </c>
      <c r="K941" s="80">
        <f t="shared" si="1554"/>
        <v>392</v>
      </c>
      <c r="L941" s="80">
        <f t="shared" si="1555"/>
        <v>471</v>
      </c>
      <c r="M941" s="80">
        <f t="shared" si="1556"/>
        <v>543</v>
      </c>
      <c r="N941" s="80">
        <f t="shared" si="1557"/>
        <v>606</v>
      </c>
      <c r="O941" s="80">
        <f t="shared" si="1558"/>
        <v>669</v>
      </c>
      <c r="P941" s="81"/>
      <c r="Q941" s="81"/>
      <c r="R941" s="81"/>
      <c r="S941" s="81"/>
      <c r="T941" s="81"/>
      <c r="U941" s="81"/>
      <c r="V941" s="81"/>
      <c r="W941" s="81"/>
      <c r="X941" s="81"/>
      <c r="Y941" s="81"/>
      <c r="Z941" s="81"/>
      <c r="AA941" s="81"/>
      <c r="AB941" s="81"/>
      <c r="AC941" s="81"/>
      <c r="AD941" s="81"/>
      <c r="AE941" s="81"/>
      <c r="AF941" s="81"/>
    </row>
    <row r="942" spans="1:32">
      <c r="A942" s="76" t="s">
        <v>1676</v>
      </c>
      <c r="B942" s="79">
        <f>B945*2*0.35</f>
        <v>17080</v>
      </c>
      <c r="C942" s="79">
        <f t="shared" ref="C942:I942" si="1564">C945*2*0.35</f>
        <v>19530</v>
      </c>
      <c r="D942" s="79">
        <f t="shared" si="1564"/>
        <v>21980</v>
      </c>
      <c r="E942" s="79">
        <f t="shared" si="1564"/>
        <v>24395</v>
      </c>
      <c r="F942" s="79">
        <f t="shared" si="1564"/>
        <v>26355</v>
      </c>
      <c r="G942" s="79">
        <f t="shared" si="1564"/>
        <v>28315</v>
      </c>
      <c r="H942" s="79">
        <f t="shared" si="1564"/>
        <v>30274.999999999996</v>
      </c>
      <c r="I942" s="79">
        <f t="shared" si="1564"/>
        <v>32234.999999999996</v>
      </c>
      <c r="J942" s="80">
        <f t="shared" si="1553"/>
        <v>427</v>
      </c>
      <c r="K942" s="80">
        <f t="shared" si="1554"/>
        <v>457</v>
      </c>
      <c r="L942" s="80">
        <f t="shared" si="1555"/>
        <v>549</v>
      </c>
      <c r="M942" s="80">
        <f t="shared" si="1556"/>
        <v>634</v>
      </c>
      <c r="N942" s="80">
        <f t="shared" si="1557"/>
        <v>707</v>
      </c>
      <c r="O942" s="80">
        <f t="shared" si="1558"/>
        <v>781</v>
      </c>
      <c r="P942" s="81"/>
      <c r="Q942" s="81"/>
      <c r="R942" s="81"/>
      <c r="S942" s="81"/>
      <c r="T942" s="81"/>
      <c r="U942" s="81"/>
      <c r="V942" s="81"/>
      <c r="W942" s="81"/>
      <c r="X942" s="81"/>
      <c r="Y942" s="81"/>
      <c r="Z942" s="81"/>
      <c r="AA942" s="81"/>
      <c r="AB942" s="81"/>
      <c r="AC942" s="81"/>
      <c r="AD942" s="81"/>
      <c r="AE942" s="81"/>
      <c r="AF942" s="81"/>
    </row>
    <row r="943" spans="1:32">
      <c r="A943" s="76" t="s">
        <v>1677</v>
      </c>
      <c r="B943" s="79">
        <f>B945*2*0.4</f>
        <v>19520</v>
      </c>
      <c r="C943" s="79">
        <f t="shared" ref="C943:I943" si="1565">C945*2*0.4</f>
        <v>22320</v>
      </c>
      <c r="D943" s="79">
        <f t="shared" si="1565"/>
        <v>25120</v>
      </c>
      <c r="E943" s="79">
        <f t="shared" si="1565"/>
        <v>27880</v>
      </c>
      <c r="F943" s="79">
        <f t="shared" si="1565"/>
        <v>30120</v>
      </c>
      <c r="G943" s="79">
        <f t="shared" si="1565"/>
        <v>32360</v>
      </c>
      <c r="H943" s="79">
        <f t="shared" si="1565"/>
        <v>34600</v>
      </c>
      <c r="I943" s="79">
        <f t="shared" si="1565"/>
        <v>36840</v>
      </c>
      <c r="J943" s="80">
        <f t="shared" si="1553"/>
        <v>488</v>
      </c>
      <c r="K943" s="80">
        <f t="shared" si="1554"/>
        <v>523</v>
      </c>
      <c r="L943" s="80">
        <f t="shared" si="1555"/>
        <v>628</v>
      </c>
      <c r="M943" s="80">
        <f t="shared" si="1556"/>
        <v>725</v>
      </c>
      <c r="N943" s="80">
        <f t="shared" si="1557"/>
        <v>809</v>
      </c>
      <c r="O943" s="80">
        <f t="shared" si="1558"/>
        <v>893</v>
      </c>
      <c r="P943" s="81"/>
      <c r="Q943" s="81"/>
      <c r="R943" s="81"/>
      <c r="S943" s="81"/>
      <c r="T943" s="81"/>
      <c r="U943" s="81"/>
      <c r="V943" s="81"/>
      <c r="W943" s="81"/>
      <c r="X943" s="81"/>
      <c r="Y943" s="81"/>
      <c r="Z943" s="81"/>
      <c r="AA943" s="81"/>
      <c r="AB943" s="81"/>
      <c r="AC943" s="81"/>
      <c r="AD943" s="81"/>
      <c r="AE943" s="81"/>
      <c r="AF943" s="81"/>
    </row>
    <row r="944" spans="1:32">
      <c r="A944" s="76" t="s">
        <v>1678</v>
      </c>
      <c r="B944" s="79">
        <f>B945*2*0.45</f>
        <v>21960</v>
      </c>
      <c r="C944" s="79">
        <f t="shared" ref="C944:I944" si="1566">C945*2*0.45</f>
        <v>25110</v>
      </c>
      <c r="D944" s="79">
        <f t="shared" si="1566"/>
        <v>28260</v>
      </c>
      <c r="E944" s="79">
        <f t="shared" si="1566"/>
        <v>31365</v>
      </c>
      <c r="F944" s="79">
        <f t="shared" si="1566"/>
        <v>33885</v>
      </c>
      <c r="G944" s="79">
        <f t="shared" si="1566"/>
        <v>36405</v>
      </c>
      <c r="H944" s="79">
        <f t="shared" si="1566"/>
        <v>38925</v>
      </c>
      <c r="I944" s="79">
        <f t="shared" si="1566"/>
        <v>41445</v>
      </c>
      <c r="J944" s="80">
        <f t="shared" si="1553"/>
        <v>549</v>
      </c>
      <c r="K944" s="80">
        <f t="shared" si="1554"/>
        <v>588</v>
      </c>
      <c r="L944" s="80">
        <f t="shared" si="1555"/>
        <v>706</v>
      </c>
      <c r="M944" s="80">
        <f t="shared" si="1556"/>
        <v>815</v>
      </c>
      <c r="N944" s="80">
        <f t="shared" si="1557"/>
        <v>910</v>
      </c>
      <c r="O944" s="80">
        <f t="shared" si="1558"/>
        <v>1004</v>
      </c>
      <c r="P944" s="81"/>
      <c r="Q944" s="81"/>
      <c r="R944" s="81"/>
      <c r="S944" s="81"/>
      <c r="T944" s="81"/>
      <c r="U944" s="81"/>
      <c r="V944" s="81"/>
      <c r="W944" s="81"/>
      <c r="X944" s="81"/>
      <c r="Y944" s="81"/>
      <c r="Z944" s="81"/>
      <c r="AA944" s="81"/>
      <c r="AB944" s="81"/>
      <c r="AC944" s="81"/>
      <c r="AD944" s="81"/>
      <c r="AE944" s="81"/>
      <c r="AF944" s="81"/>
    </row>
    <row r="945" spans="1:32">
      <c r="A945" s="82" t="s">
        <v>1679</v>
      </c>
      <c r="B945" s="84">
        <f>'MTSP 50% Income Limits '!B54</f>
        <v>24400</v>
      </c>
      <c r="C945" s="84">
        <f>'MTSP 50% Income Limits '!C54</f>
        <v>27900</v>
      </c>
      <c r="D945" s="84">
        <f>'MTSP 50% Income Limits '!D54</f>
        <v>31400</v>
      </c>
      <c r="E945" s="84">
        <f>'MTSP 50% Income Limits '!E54</f>
        <v>34850</v>
      </c>
      <c r="F945" s="84">
        <f>'MTSP 50% Income Limits '!F54</f>
        <v>37650</v>
      </c>
      <c r="G945" s="84">
        <f>'MTSP 50% Income Limits '!G54</f>
        <v>40450</v>
      </c>
      <c r="H945" s="84">
        <f>'MTSP 50% Income Limits '!H54</f>
        <v>43250</v>
      </c>
      <c r="I945" s="84">
        <f>'MTSP 50% Income Limits '!I54</f>
        <v>46050</v>
      </c>
      <c r="J945" s="83">
        <f>TRUNC(B945/12*0.3)</f>
        <v>610</v>
      </c>
      <c r="K945" s="83">
        <f>TRUNC((B945+C945)/2/12*0.3)</f>
        <v>653</v>
      </c>
      <c r="L945" s="83">
        <f>TRUNC((D945)/12*0.3)</f>
        <v>785</v>
      </c>
      <c r="M945" s="83">
        <f>TRUNC(((E945+F945)/2)/12*0.3)</f>
        <v>906</v>
      </c>
      <c r="N945" s="83">
        <f>TRUNC(G945/12*0.3)</f>
        <v>1011</v>
      </c>
      <c r="O945" s="83">
        <f>TRUNC(((H945+I945)/2)/12*0.3)</f>
        <v>1116</v>
      </c>
      <c r="P945" s="81"/>
      <c r="Q945" s="81"/>
      <c r="R945" s="81"/>
      <c r="S945" s="81"/>
      <c r="T945" s="81"/>
      <c r="U945" s="81"/>
      <c r="V945" s="81"/>
      <c r="W945" s="81"/>
      <c r="X945" s="81"/>
      <c r="Y945" s="81"/>
      <c r="Z945" s="81"/>
      <c r="AA945" s="81"/>
      <c r="AB945" s="81"/>
      <c r="AC945" s="81"/>
      <c r="AD945" s="81"/>
      <c r="AE945" s="81"/>
      <c r="AF945" s="81"/>
    </row>
    <row r="946" spans="1:32">
      <c r="A946" s="76" t="s">
        <v>1680</v>
      </c>
      <c r="B946" s="79">
        <f>B945*2*0.55</f>
        <v>26840.000000000004</v>
      </c>
      <c r="C946" s="79">
        <f t="shared" ref="C946:I946" si="1567">C945*2*0.55</f>
        <v>30690.000000000004</v>
      </c>
      <c r="D946" s="79">
        <f t="shared" si="1567"/>
        <v>34540</v>
      </c>
      <c r="E946" s="79">
        <f t="shared" si="1567"/>
        <v>38335</v>
      </c>
      <c r="F946" s="79">
        <f t="shared" si="1567"/>
        <v>41415</v>
      </c>
      <c r="G946" s="79">
        <f t="shared" si="1567"/>
        <v>44495</v>
      </c>
      <c r="H946" s="79">
        <f t="shared" si="1567"/>
        <v>47575.000000000007</v>
      </c>
      <c r="I946" s="79">
        <f t="shared" si="1567"/>
        <v>50655.000000000007</v>
      </c>
      <c r="J946" s="80">
        <f t="shared" ref="J946:J952" si="1568">TRUNC(B946/12*0.3)</f>
        <v>671</v>
      </c>
      <c r="K946" s="80">
        <f t="shared" ref="K946:K952" si="1569">TRUNC((B946+C946)/2/12*0.3)</f>
        <v>719</v>
      </c>
      <c r="L946" s="80">
        <f t="shared" ref="L946:L952" si="1570">TRUNC((D946)/12*0.3)</f>
        <v>863</v>
      </c>
      <c r="M946" s="80">
        <f t="shared" ref="M946:M952" si="1571">TRUNC(((E946+F946)/2)/12*0.3)</f>
        <v>996</v>
      </c>
      <c r="N946" s="80">
        <f t="shared" ref="N946:N952" si="1572">TRUNC(G946/12*0.3)</f>
        <v>1112</v>
      </c>
      <c r="O946" s="80">
        <f t="shared" ref="O946:O952" si="1573">TRUNC(((H946+I946)/2)/12*0.3)</f>
        <v>1227</v>
      </c>
      <c r="P946" s="81"/>
      <c r="Q946" s="81"/>
      <c r="R946" s="81"/>
      <c r="S946" s="81"/>
      <c r="T946" s="81"/>
      <c r="U946" s="81"/>
      <c r="V946" s="81"/>
      <c r="W946" s="81"/>
      <c r="X946" s="81"/>
      <c r="Y946" s="81"/>
      <c r="Z946" s="81"/>
      <c r="AA946" s="81"/>
      <c r="AB946" s="81"/>
      <c r="AC946" s="81"/>
      <c r="AD946" s="81"/>
      <c r="AE946" s="81"/>
      <c r="AF946" s="81"/>
    </row>
    <row r="947" spans="1:32">
      <c r="A947" s="76" t="s">
        <v>1681</v>
      </c>
      <c r="B947" s="79">
        <f>B945*2*0.6</f>
        <v>29280</v>
      </c>
      <c r="C947" s="79">
        <f t="shared" ref="C947:I947" si="1574">C945*2*0.6</f>
        <v>33480</v>
      </c>
      <c r="D947" s="79">
        <f t="shared" si="1574"/>
        <v>37680</v>
      </c>
      <c r="E947" s="79">
        <f t="shared" si="1574"/>
        <v>41820</v>
      </c>
      <c r="F947" s="79">
        <f t="shared" si="1574"/>
        <v>45180</v>
      </c>
      <c r="G947" s="79">
        <f t="shared" si="1574"/>
        <v>48540</v>
      </c>
      <c r="H947" s="79">
        <f t="shared" si="1574"/>
        <v>51900</v>
      </c>
      <c r="I947" s="79">
        <f t="shared" si="1574"/>
        <v>55260</v>
      </c>
      <c r="J947" s="80">
        <f t="shared" si="1568"/>
        <v>732</v>
      </c>
      <c r="K947" s="80">
        <f t="shared" si="1569"/>
        <v>784</v>
      </c>
      <c r="L947" s="80">
        <f t="shared" si="1570"/>
        <v>942</v>
      </c>
      <c r="M947" s="80">
        <f t="shared" si="1571"/>
        <v>1087</v>
      </c>
      <c r="N947" s="80">
        <f t="shared" si="1572"/>
        <v>1213</v>
      </c>
      <c r="O947" s="80">
        <f t="shared" si="1573"/>
        <v>1339</v>
      </c>
      <c r="P947" s="81"/>
      <c r="Q947" s="81"/>
      <c r="R947" s="81"/>
      <c r="S947" s="81"/>
      <c r="T947" s="81"/>
      <c r="U947" s="81"/>
      <c r="V947" s="81"/>
      <c r="W947" s="81"/>
      <c r="X947" s="81"/>
      <c r="Y947" s="81"/>
      <c r="Z947" s="81"/>
      <c r="AA947" s="81"/>
      <c r="AB947" s="81"/>
      <c r="AC947" s="81"/>
      <c r="AD947" s="81"/>
      <c r="AE947" s="81"/>
      <c r="AF947" s="81"/>
    </row>
    <row r="948" spans="1:32">
      <c r="A948" s="76" t="s">
        <v>1682</v>
      </c>
      <c r="B948" s="79">
        <f>B945*2*0.65</f>
        <v>31720</v>
      </c>
      <c r="C948" s="79">
        <f t="shared" ref="C948:I948" si="1575">C945*2*0.65</f>
        <v>36270</v>
      </c>
      <c r="D948" s="79">
        <f t="shared" si="1575"/>
        <v>40820</v>
      </c>
      <c r="E948" s="79">
        <f t="shared" si="1575"/>
        <v>45305</v>
      </c>
      <c r="F948" s="79">
        <f t="shared" si="1575"/>
        <v>48945</v>
      </c>
      <c r="G948" s="79">
        <f t="shared" si="1575"/>
        <v>52585</v>
      </c>
      <c r="H948" s="79">
        <f t="shared" si="1575"/>
        <v>56225</v>
      </c>
      <c r="I948" s="79">
        <f t="shared" si="1575"/>
        <v>59865</v>
      </c>
      <c r="J948" s="80">
        <f t="shared" si="1568"/>
        <v>793</v>
      </c>
      <c r="K948" s="80">
        <f t="shared" si="1569"/>
        <v>849</v>
      </c>
      <c r="L948" s="80">
        <f t="shared" si="1570"/>
        <v>1020</v>
      </c>
      <c r="M948" s="80">
        <f t="shared" si="1571"/>
        <v>1178</v>
      </c>
      <c r="N948" s="80">
        <f t="shared" si="1572"/>
        <v>1314</v>
      </c>
      <c r="O948" s="80">
        <f t="shared" si="1573"/>
        <v>1451</v>
      </c>
      <c r="P948" s="81"/>
      <c r="Q948" s="81"/>
      <c r="R948" s="81"/>
      <c r="S948" s="81"/>
      <c r="T948" s="81"/>
      <c r="U948" s="81"/>
      <c r="V948" s="81"/>
      <c r="W948" s="81"/>
      <c r="X948" s="81"/>
      <c r="Y948" s="81"/>
      <c r="Z948" s="81"/>
      <c r="AA948" s="81"/>
      <c r="AB948" s="81"/>
      <c r="AC948" s="81"/>
      <c r="AD948" s="81"/>
      <c r="AE948" s="81"/>
      <c r="AF948" s="81"/>
    </row>
    <row r="949" spans="1:32">
      <c r="A949" s="76" t="s">
        <v>1683</v>
      </c>
      <c r="B949" s="79">
        <f>B945*2*0.7</f>
        <v>34160</v>
      </c>
      <c r="C949" s="79">
        <f t="shared" ref="C949:I949" si="1576">C945*2*0.7</f>
        <v>39060</v>
      </c>
      <c r="D949" s="79">
        <f t="shared" si="1576"/>
        <v>43960</v>
      </c>
      <c r="E949" s="79">
        <f t="shared" si="1576"/>
        <v>48790</v>
      </c>
      <c r="F949" s="79">
        <f t="shared" si="1576"/>
        <v>52710</v>
      </c>
      <c r="G949" s="79">
        <f t="shared" si="1576"/>
        <v>56630</v>
      </c>
      <c r="H949" s="79">
        <f t="shared" si="1576"/>
        <v>60549.999999999993</v>
      </c>
      <c r="I949" s="79">
        <f t="shared" si="1576"/>
        <v>64469.999999999993</v>
      </c>
      <c r="J949" s="80">
        <f t="shared" si="1568"/>
        <v>854</v>
      </c>
      <c r="K949" s="80">
        <f t="shared" si="1569"/>
        <v>915</v>
      </c>
      <c r="L949" s="80">
        <f t="shared" si="1570"/>
        <v>1099</v>
      </c>
      <c r="M949" s="80">
        <f t="shared" si="1571"/>
        <v>1268</v>
      </c>
      <c r="N949" s="80">
        <f t="shared" si="1572"/>
        <v>1415</v>
      </c>
      <c r="O949" s="80">
        <f t="shared" si="1573"/>
        <v>1562</v>
      </c>
      <c r="P949" s="81"/>
      <c r="Q949" s="81"/>
      <c r="R949" s="81"/>
      <c r="S949" s="81"/>
      <c r="T949" s="81"/>
      <c r="U949" s="81"/>
      <c r="V949" s="81"/>
      <c r="W949" s="81"/>
      <c r="X949" s="81"/>
      <c r="Y949" s="81"/>
      <c r="Z949" s="81"/>
      <c r="AA949" s="81"/>
      <c r="AB949" s="81"/>
      <c r="AC949" s="81"/>
      <c r="AD949" s="81"/>
      <c r="AE949" s="81"/>
      <c r="AF949" s="81"/>
    </row>
    <row r="950" spans="1:32">
      <c r="A950" s="76" t="s">
        <v>1684</v>
      </c>
      <c r="B950" s="79">
        <f>B945*2*0.75</f>
        <v>36600</v>
      </c>
      <c r="C950" s="79">
        <f t="shared" ref="C950:I950" si="1577">C945*2*0.75</f>
        <v>41850</v>
      </c>
      <c r="D950" s="79">
        <f t="shared" si="1577"/>
        <v>47100</v>
      </c>
      <c r="E950" s="79">
        <f t="shared" si="1577"/>
        <v>52275</v>
      </c>
      <c r="F950" s="79">
        <f t="shared" si="1577"/>
        <v>56475</v>
      </c>
      <c r="G950" s="79">
        <f t="shared" si="1577"/>
        <v>60675</v>
      </c>
      <c r="H950" s="79">
        <f t="shared" si="1577"/>
        <v>64875</v>
      </c>
      <c r="I950" s="79">
        <f t="shared" si="1577"/>
        <v>69075</v>
      </c>
      <c r="J950" s="80">
        <f t="shared" si="1568"/>
        <v>915</v>
      </c>
      <c r="K950" s="80">
        <f t="shared" si="1569"/>
        <v>980</v>
      </c>
      <c r="L950" s="80">
        <f t="shared" si="1570"/>
        <v>1177</v>
      </c>
      <c r="M950" s="80">
        <f t="shared" si="1571"/>
        <v>1359</v>
      </c>
      <c r="N950" s="80">
        <f t="shared" si="1572"/>
        <v>1516</v>
      </c>
      <c r="O950" s="80">
        <f t="shared" si="1573"/>
        <v>1674</v>
      </c>
      <c r="P950" s="81"/>
      <c r="Q950" s="81"/>
      <c r="R950" s="81"/>
      <c r="S950" s="81"/>
      <c r="T950" s="81"/>
      <c r="U950" s="81"/>
      <c r="V950" s="81"/>
      <c r="W950" s="81"/>
      <c r="X950" s="81"/>
      <c r="Y950" s="81"/>
      <c r="Z950" s="81"/>
      <c r="AA950" s="81"/>
      <c r="AB950" s="81"/>
      <c r="AC950" s="81"/>
      <c r="AD950" s="81"/>
      <c r="AE950" s="81"/>
      <c r="AF950" s="81"/>
    </row>
    <row r="951" spans="1:32">
      <c r="A951" s="76" t="s">
        <v>1685</v>
      </c>
      <c r="B951" s="79">
        <f>B945*2*0.8</f>
        <v>39040</v>
      </c>
      <c r="C951" s="79">
        <f t="shared" ref="C951:I951" si="1578">C945*2*0.8</f>
        <v>44640</v>
      </c>
      <c r="D951" s="79">
        <f t="shared" si="1578"/>
        <v>50240</v>
      </c>
      <c r="E951" s="79">
        <f t="shared" si="1578"/>
        <v>55760</v>
      </c>
      <c r="F951" s="79">
        <f t="shared" si="1578"/>
        <v>60240</v>
      </c>
      <c r="G951" s="79">
        <f t="shared" si="1578"/>
        <v>64720</v>
      </c>
      <c r="H951" s="79">
        <f t="shared" si="1578"/>
        <v>69200</v>
      </c>
      <c r="I951" s="79">
        <f t="shared" si="1578"/>
        <v>73680</v>
      </c>
      <c r="J951" s="80">
        <f t="shared" si="1568"/>
        <v>976</v>
      </c>
      <c r="K951" s="80">
        <f t="shared" si="1569"/>
        <v>1046</v>
      </c>
      <c r="L951" s="80">
        <f t="shared" si="1570"/>
        <v>1256</v>
      </c>
      <c r="M951" s="80">
        <f t="shared" si="1571"/>
        <v>1450</v>
      </c>
      <c r="N951" s="80">
        <f t="shared" si="1572"/>
        <v>1618</v>
      </c>
      <c r="O951" s="80">
        <f t="shared" si="1573"/>
        <v>1786</v>
      </c>
      <c r="P951" s="81"/>
      <c r="Q951" s="81"/>
      <c r="R951" s="81"/>
      <c r="S951" s="81"/>
      <c r="T951" s="81"/>
      <c r="U951" s="81"/>
      <c r="V951" s="81"/>
      <c r="W951" s="81"/>
      <c r="X951" s="81"/>
      <c r="Y951" s="81"/>
      <c r="Z951" s="81"/>
      <c r="AA951" s="81"/>
      <c r="AB951" s="81"/>
      <c r="AC951" s="81"/>
      <c r="AD951" s="81"/>
      <c r="AE951" s="81"/>
      <c r="AF951" s="81"/>
    </row>
    <row r="952" spans="1:32">
      <c r="A952" s="76" t="s">
        <v>1686</v>
      </c>
      <c r="B952" s="79">
        <f>B945*2*0.9</f>
        <v>43920</v>
      </c>
      <c r="C952" s="79">
        <f t="shared" ref="C952:I952" si="1579">C945*2*0.9</f>
        <v>50220</v>
      </c>
      <c r="D952" s="79">
        <f t="shared" si="1579"/>
        <v>56520</v>
      </c>
      <c r="E952" s="79">
        <f t="shared" si="1579"/>
        <v>62730</v>
      </c>
      <c r="F952" s="79">
        <f t="shared" si="1579"/>
        <v>67770</v>
      </c>
      <c r="G952" s="79">
        <f t="shared" si="1579"/>
        <v>72810</v>
      </c>
      <c r="H952" s="79">
        <f t="shared" si="1579"/>
        <v>77850</v>
      </c>
      <c r="I952" s="79">
        <f t="shared" si="1579"/>
        <v>82890</v>
      </c>
      <c r="J952" s="80">
        <f t="shared" si="1568"/>
        <v>1098</v>
      </c>
      <c r="K952" s="80">
        <f t="shared" si="1569"/>
        <v>1176</v>
      </c>
      <c r="L952" s="80">
        <f t="shared" si="1570"/>
        <v>1413</v>
      </c>
      <c r="M952" s="80">
        <f t="shared" si="1571"/>
        <v>1631</v>
      </c>
      <c r="N952" s="80">
        <f t="shared" si="1572"/>
        <v>1820</v>
      </c>
      <c r="O952" s="80">
        <f t="shared" si="1573"/>
        <v>2009</v>
      </c>
      <c r="P952" s="81"/>
      <c r="Q952" s="81"/>
      <c r="R952" s="81"/>
      <c r="S952" s="81"/>
      <c r="T952" s="81"/>
      <c r="U952" s="81"/>
      <c r="V952" s="81"/>
      <c r="W952" s="81"/>
      <c r="X952" s="81"/>
      <c r="Y952" s="81"/>
      <c r="Z952" s="81"/>
      <c r="AA952" s="81"/>
      <c r="AB952" s="81"/>
      <c r="AC952" s="81"/>
      <c r="AD952" s="81"/>
      <c r="AE952" s="81"/>
      <c r="AF952" s="81"/>
    </row>
    <row r="953" spans="1:32">
      <c r="A953" s="76" t="s">
        <v>1687</v>
      </c>
      <c r="B953" s="79">
        <f>B945*2</f>
        <v>48800</v>
      </c>
      <c r="C953" s="79">
        <f t="shared" ref="C953:I953" si="1580">C945*2</f>
        <v>55800</v>
      </c>
      <c r="D953" s="79">
        <f t="shared" si="1580"/>
        <v>62800</v>
      </c>
      <c r="E953" s="79">
        <f t="shared" si="1580"/>
        <v>69700</v>
      </c>
      <c r="F953" s="79">
        <f t="shared" si="1580"/>
        <v>75300</v>
      </c>
      <c r="G953" s="79">
        <f t="shared" si="1580"/>
        <v>80900</v>
      </c>
      <c r="H953" s="79">
        <f t="shared" si="1580"/>
        <v>86500</v>
      </c>
      <c r="I953" s="79">
        <f t="shared" si="1580"/>
        <v>92100</v>
      </c>
      <c r="J953" s="80">
        <f>J945*2</f>
        <v>1220</v>
      </c>
      <c r="K953" s="80">
        <f t="shared" ref="K953:O953" si="1581">K945*2</f>
        <v>1306</v>
      </c>
      <c r="L953" s="80">
        <f t="shared" si="1581"/>
        <v>1570</v>
      </c>
      <c r="M953" s="80">
        <f t="shared" si="1581"/>
        <v>1812</v>
      </c>
      <c r="N953" s="80">
        <f t="shared" si="1581"/>
        <v>2022</v>
      </c>
      <c r="O953" s="80">
        <f t="shared" si="1581"/>
        <v>2232</v>
      </c>
      <c r="P953" s="81"/>
      <c r="Q953" s="81"/>
      <c r="R953" s="81"/>
      <c r="S953" s="81"/>
      <c r="T953" s="81"/>
      <c r="U953" s="81"/>
      <c r="V953" s="81"/>
      <c r="W953" s="81"/>
      <c r="X953" s="81"/>
      <c r="Y953" s="81"/>
      <c r="Z953" s="81"/>
      <c r="AA953" s="81"/>
      <c r="AB953" s="81"/>
      <c r="AC953" s="81"/>
      <c r="AD953" s="81"/>
      <c r="AE953" s="81"/>
      <c r="AF953" s="81"/>
    </row>
    <row r="954" spans="1:32">
      <c r="A954" s="76" t="s">
        <v>1688</v>
      </c>
      <c r="B954" s="79">
        <f>B945*2*1.1</f>
        <v>53680.000000000007</v>
      </c>
      <c r="C954" s="79">
        <f t="shared" ref="C954:I954" si="1582">C945*2*1.1</f>
        <v>61380.000000000007</v>
      </c>
      <c r="D954" s="79">
        <f t="shared" si="1582"/>
        <v>69080</v>
      </c>
      <c r="E954" s="79">
        <f t="shared" si="1582"/>
        <v>76670</v>
      </c>
      <c r="F954" s="79">
        <f t="shared" si="1582"/>
        <v>82830</v>
      </c>
      <c r="G954" s="79">
        <f t="shared" si="1582"/>
        <v>88990</v>
      </c>
      <c r="H954" s="79">
        <f t="shared" si="1582"/>
        <v>95150.000000000015</v>
      </c>
      <c r="I954" s="79">
        <f t="shared" si="1582"/>
        <v>101310.00000000001</v>
      </c>
      <c r="J954" s="80">
        <f t="shared" ref="J954:J962" si="1583">TRUNC(B954/12*0.3)</f>
        <v>1342</v>
      </c>
      <c r="K954" s="80">
        <f t="shared" ref="K954:K962" si="1584">TRUNC((B954+C954)/2/12*0.3)</f>
        <v>1438</v>
      </c>
      <c r="L954" s="80">
        <f t="shared" ref="L954:L962" si="1585">TRUNC((D954)/12*0.3)</f>
        <v>1727</v>
      </c>
      <c r="M954" s="80">
        <f t="shared" ref="M954:M962" si="1586">TRUNC(((E954+F954)/2)/12*0.3)</f>
        <v>1993</v>
      </c>
      <c r="N954" s="80">
        <f t="shared" ref="N954:N962" si="1587">TRUNC(G954/12*0.3)</f>
        <v>2224</v>
      </c>
      <c r="O954" s="80">
        <f t="shared" ref="O954:O962" si="1588">TRUNC(((H954+I954)/2)/12*0.3)</f>
        <v>2455</v>
      </c>
      <c r="P954" s="81"/>
      <c r="Q954" s="81"/>
      <c r="R954" s="81"/>
      <c r="S954" s="81"/>
      <c r="T954" s="81"/>
      <c r="U954" s="81"/>
      <c r="V954" s="81"/>
      <c r="W954" s="81"/>
      <c r="X954" s="81"/>
      <c r="Y954" s="81"/>
      <c r="Z954" s="81"/>
      <c r="AA954" s="81"/>
      <c r="AB954" s="81"/>
      <c r="AC954" s="81"/>
      <c r="AD954" s="81"/>
      <c r="AE954" s="81"/>
      <c r="AF954" s="81"/>
    </row>
    <row r="955" spans="1:32">
      <c r="A955" s="76" t="s">
        <v>1689</v>
      </c>
      <c r="B955" s="79">
        <f>B945*2*1.2</f>
        <v>58560</v>
      </c>
      <c r="C955" s="79">
        <f t="shared" ref="C955:I955" si="1589">C945*2*1.2</f>
        <v>66960</v>
      </c>
      <c r="D955" s="79">
        <f t="shared" si="1589"/>
        <v>75360</v>
      </c>
      <c r="E955" s="79">
        <f t="shared" si="1589"/>
        <v>83640</v>
      </c>
      <c r="F955" s="79">
        <f t="shared" si="1589"/>
        <v>90360</v>
      </c>
      <c r="G955" s="79">
        <f t="shared" si="1589"/>
        <v>97080</v>
      </c>
      <c r="H955" s="79">
        <f t="shared" si="1589"/>
        <v>103800</v>
      </c>
      <c r="I955" s="79">
        <f t="shared" si="1589"/>
        <v>110520</v>
      </c>
      <c r="J955" s="80">
        <f t="shared" si="1583"/>
        <v>1464</v>
      </c>
      <c r="K955" s="80">
        <f t="shared" si="1584"/>
        <v>1569</v>
      </c>
      <c r="L955" s="80">
        <f t="shared" si="1585"/>
        <v>1884</v>
      </c>
      <c r="M955" s="80">
        <f t="shared" si="1586"/>
        <v>2175</v>
      </c>
      <c r="N955" s="80">
        <f t="shared" si="1587"/>
        <v>2427</v>
      </c>
      <c r="O955" s="80">
        <f t="shared" si="1588"/>
        <v>2679</v>
      </c>
      <c r="P955" s="81"/>
      <c r="Q955" s="81"/>
      <c r="R955" s="81"/>
      <c r="S955" s="81"/>
      <c r="T955" s="81"/>
      <c r="U955" s="81"/>
      <c r="V955" s="81"/>
      <c r="W955" s="81"/>
      <c r="X955" s="81"/>
      <c r="Y955" s="81"/>
      <c r="Z955" s="81"/>
      <c r="AA955" s="81"/>
      <c r="AB955" s="81"/>
      <c r="AC955" s="81"/>
      <c r="AD955" s="81"/>
      <c r="AE955" s="81"/>
      <c r="AF955" s="81"/>
    </row>
    <row r="956" spans="1:32">
      <c r="A956" s="76" t="s">
        <v>1690</v>
      </c>
      <c r="B956" s="79">
        <f>B963*2*0.15</f>
        <v>7320</v>
      </c>
      <c r="C956" s="79">
        <f>C963*2*0.15</f>
        <v>8370</v>
      </c>
      <c r="D956" s="79">
        <f>D963*2*0.15</f>
        <v>9420</v>
      </c>
      <c r="E956" s="79">
        <f>E963*2*0.15</f>
        <v>10455</v>
      </c>
      <c r="F956" s="79">
        <f>F963*2*0.15</f>
        <v>11295</v>
      </c>
      <c r="G956" s="79">
        <f t="shared" ref="G956:I956" si="1590">G963*2*0.15</f>
        <v>12135</v>
      </c>
      <c r="H956" s="79">
        <f t="shared" si="1590"/>
        <v>12975</v>
      </c>
      <c r="I956" s="79">
        <f t="shared" si="1590"/>
        <v>13815</v>
      </c>
      <c r="J956" s="80">
        <f t="shared" si="1583"/>
        <v>183</v>
      </c>
      <c r="K956" s="80">
        <f t="shared" si="1584"/>
        <v>196</v>
      </c>
      <c r="L956" s="80">
        <f t="shared" si="1585"/>
        <v>235</v>
      </c>
      <c r="M956" s="80">
        <f t="shared" si="1586"/>
        <v>271</v>
      </c>
      <c r="N956" s="80">
        <f t="shared" si="1587"/>
        <v>303</v>
      </c>
      <c r="O956" s="80">
        <f t="shared" si="1588"/>
        <v>334</v>
      </c>
      <c r="P956" s="81"/>
      <c r="Q956" s="81"/>
      <c r="R956" s="81"/>
      <c r="S956" s="81"/>
      <c r="T956" s="81"/>
      <c r="U956" s="81"/>
      <c r="V956" s="81"/>
      <c r="W956" s="81"/>
      <c r="X956" s="81"/>
      <c r="Y956" s="81"/>
      <c r="Z956" s="81"/>
      <c r="AA956" s="81"/>
      <c r="AB956" s="81"/>
      <c r="AC956" s="81"/>
      <c r="AD956" s="81"/>
      <c r="AE956" s="81"/>
      <c r="AF956" s="81"/>
    </row>
    <row r="957" spans="1:32">
      <c r="A957" s="76" t="s">
        <v>1691</v>
      </c>
      <c r="B957" s="79">
        <f>B963*2*0.2</f>
        <v>9760</v>
      </c>
      <c r="C957" s="79">
        <f t="shared" ref="C957:I957" si="1591">C963*2*0.2</f>
        <v>11160</v>
      </c>
      <c r="D957" s="79">
        <f t="shared" si="1591"/>
        <v>12560</v>
      </c>
      <c r="E957" s="79">
        <f t="shared" si="1591"/>
        <v>13940</v>
      </c>
      <c r="F957" s="79">
        <f t="shared" si="1591"/>
        <v>15060</v>
      </c>
      <c r="G957" s="79">
        <f t="shared" si="1591"/>
        <v>16180</v>
      </c>
      <c r="H957" s="79">
        <f t="shared" si="1591"/>
        <v>17300</v>
      </c>
      <c r="I957" s="79">
        <f t="shared" si="1591"/>
        <v>18420</v>
      </c>
      <c r="J957" s="80">
        <f t="shared" si="1583"/>
        <v>244</v>
      </c>
      <c r="K957" s="80">
        <f t="shared" si="1584"/>
        <v>261</v>
      </c>
      <c r="L957" s="80">
        <f t="shared" si="1585"/>
        <v>314</v>
      </c>
      <c r="M957" s="80">
        <f t="shared" si="1586"/>
        <v>362</v>
      </c>
      <c r="N957" s="80">
        <f t="shared" si="1587"/>
        <v>404</v>
      </c>
      <c r="O957" s="80">
        <f t="shared" si="1588"/>
        <v>446</v>
      </c>
      <c r="P957" s="81"/>
      <c r="Q957" s="81"/>
      <c r="R957" s="81"/>
      <c r="S957" s="81"/>
      <c r="T957" s="81"/>
      <c r="U957" s="81"/>
      <c r="V957" s="81"/>
      <c r="W957" s="81"/>
      <c r="X957" s="81"/>
      <c r="Y957" s="81"/>
      <c r="Z957" s="81"/>
      <c r="AA957" s="81"/>
      <c r="AB957" s="81"/>
      <c r="AC957" s="81"/>
      <c r="AD957" s="81"/>
      <c r="AE957" s="81"/>
      <c r="AF957" s="81"/>
    </row>
    <row r="958" spans="1:32">
      <c r="A958" s="76" t="s">
        <v>1692</v>
      </c>
      <c r="B958" s="79">
        <f>B963*2*0.25</f>
        <v>12200</v>
      </c>
      <c r="C958" s="79">
        <f t="shared" ref="C958:I958" si="1592">C963*2*0.25</f>
        <v>13950</v>
      </c>
      <c r="D958" s="79">
        <f t="shared" si="1592"/>
        <v>15700</v>
      </c>
      <c r="E958" s="79">
        <f t="shared" si="1592"/>
        <v>17425</v>
      </c>
      <c r="F958" s="79">
        <f t="shared" si="1592"/>
        <v>18825</v>
      </c>
      <c r="G958" s="79">
        <f t="shared" si="1592"/>
        <v>20225</v>
      </c>
      <c r="H958" s="79">
        <f t="shared" si="1592"/>
        <v>21625</v>
      </c>
      <c r="I958" s="79">
        <f t="shared" si="1592"/>
        <v>23025</v>
      </c>
      <c r="J958" s="80">
        <f t="shared" si="1583"/>
        <v>305</v>
      </c>
      <c r="K958" s="80">
        <f t="shared" si="1584"/>
        <v>326</v>
      </c>
      <c r="L958" s="80">
        <f t="shared" si="1585"/>
        <v>392</v>
      </c>
      <c r="M958" s="80">
        <f t="shared" si="1586"/>
        <v>453</v>
      </c>
      <c r="N958" s="80">
        <f t="shared" si="1587"/>
        <v>505</v>
      </c>
      <c r="O958" s="80">
        <f t="shared" si="1588"/>
        <v>558</v>
      </c>
      <c r="P958" s="81"/>
      <c r="Q958" s="81"/>
      <c r="R958" s="81"/>
      <c r="S958" s="81"/>
      <c r="T958" s="81"/>
      <c r="U958" s="81"/>
      <c r="V958" s="81"/>
      <c r="W958" s="81"/>
      <c r="X958" s="81"/>
      <c r="Y958" s="81"/>
      <c r="Z958" s="81"/>
      <c r="AA958" s="81"/>
      <c r="AB958" s="81"/>
      <c r="AC958" s="81"/>
      <c r="AD958" s="81"/>
      <c r="AE958" s="81"/>
      <c r="AF958" s="81"/>
    </row>
    <row r="959" spans="1:32">
      <c r="A959" s="76" t="s">
        <v>1693</v>
      </c>
      <c r="B959" s="79">
        <f>B963*2*0.3</f>
        <v>14640</v>
      </c>
      <c r="C959" s="79">
        <f t="shared" ref="C959:I959" si="1593">C963*2*0.3</f>
        <v>16740</v>
      </c>
      <c r="D959" s="79">
        <f t="shared" si="1593"/>
        <v>18840</v>
      </c>
      <c r="E959" s="79">
        <f t="shared" si="1593"/>
        <v>20910</v>
      </c>
      <c r="F959" s="79">
        <f t="shared" si="1593"/>
        <v>22590</v>
      </c>
      <c r="G959" s="79">
        <f t="shared" si="1593"/>
        <v>24270</v>
      </c>
      <c r="H959" s="79">
        <f t="shared" si="1593"/>
        <v>25950</v>
      </c>
      <c r="I959" s="79">
        <f t="shared" si="1593"/>
        <v>27630</v>
      </c>
      <c r="J959" s="80">
        <f t="shared" si="1583"/>
        <v>366</v>
      </c>
      <c r="K959" s="80">
        <f t="shared" si="1584"/>
        <v>392</v>
      </c>
      <c r="L959" s="80">
        <f t="shared" si="1585"/>
        <v>471</v>
      </c>
      <c r="M959" s="80">
        <f t="shared" si="1586"/>
        <v>543</v>
      </c>
      <c r="N959" s="80">
        <f t="shared" si="1587"/>
        <v>606</v>
      </c>
      <c r="O959" s="80">
        <f t="shared" si="1588"/>
        <v>669</v>
      </c>
      <c r="P959" s="81"/>
      <c r="Q959" s="81"/>
      <c r="R959" s="81"/>
      <c r="S959" s="81"/>
      <c r="T959" s="81"/>
      <c r="U959" s="81"/>
      <c r="V959" s="81"/>
      <c r="W959" s="81"/>
      <c r="X959" s="81"/>
      <c r="Y959" s="81"/>
      <c r="Z959" s="81"/>
      <c r="AA959" s="81"/>
      <c r="AB959" s="81"/>
      <c r="AC959" s="81"/>
      <c r="AD959" s="81"/>
      <c r="AE959" s="81"/>
      <c r="AF959" s="81"/>
    </row>
    <row r="960" spans="1:32">
      <c r="A960" s="76" t="s">
        <v>1694</v>
      </c>
      <c r="B960" s="79">
        <f>B963*2*0.35</f>
        <v>17080</v>
      </c>
      <c r="C960" s="79">
        <f t="shared" ref="C960:I960" si="1594">C963*2*0.35</f>
        <v>19530</v>
      </c>
      <c r="D960" s="79">
        <f t="shared" si="1594"/>
        <v>21980</v>
      </c>
      <c r="E960" s="79">
        <f t="shared" si="1594"/>
        <v>24395</v>
      </c>
      <c r="F960" s="79">
        <f t="shared" si="1594"/>
        <v>26355</v>
      </c>
      <c r="G960" s="79">
        <f t="shared" si="1594"/>
        <v>28315</v>
      </c>
      <c r="H960" s="79">
        <f t="shared" si="1594"/>
        <v>30274.999999999996</v>
      </c>
      <c r="I960" s="79">
        <f t="shared" si="1594"/>
        <v>32234.999999999996</v>
      </c>
      <c r="J960" s="80">
        <f t="shared" si="1583"/>
        <v>427</v>
      </c>
      <c r="K960" s="80">
        <f t="shared" si="1584"/>
        <v>457</v>
      </c>
      <c r="L960" s="80">
        <f t="shared" si="1585"/>
        <v>549</v>
      </c>
      <c r="M960" s="80">
        <f t="shared" si="1586"/>
        <v>634</v>
      </c>
      <c r="N960" s="80">
        <f t="shared" si="1587"/>
        <v>707</v>
      </c>
      <c r="O960" s="80">
        <f t="shared" si="1588"/>
        <v>781</v>
      </c>
      <c r="P960" s="81"/>
      <c r="Q960" s="81"/>
      <c r="R960" s="81"/>
      <c r="S960" s="81"/>
      <c r="T960" s="81"/>
      <c r="U960" s="81"/>
      <c r="V960" s="81"/>
      <c r="W960" s="81"/>
      <c r="X960" s="81"/>
      <c r="Y960" s="81"/>
      <c r="Z960" s="81"/>
      <c r="AA960" s="81"/>
      <c r="AB960" s="81"/>
      <c r="AC960" s="81"/>
      <c r="AD960" s="81"/>
      <c r="AE960" s="81"/>
      <c r="AF960" s="81"/>
    </row>
    <row r="961" spans="1:32">
      <c r="A961" s="76" t="s">
        <v>1695</v>
      </c>
      <c r="B961" s="79">
        <f>B963*2*0.4</f>
        <v>19520</v>
      </c>
      <c r="C961" s="79">
        <f t="shared" ref="C961:I961" si="1595">C963*2*0.4</f>
        <v>22320</v>
      </c>
      <c r="D961" s="79">
        <f t="shared" si="1595"/>
        <v>25120</v>
      </c>
      <c r="E961" s="79">
        <f t="shared" si="1595"/>
        <v>27880</v>
      </c>
      <c r="F961" s="79">
        <f t="shared" si="1595"/>
        <v>30120</v>
      </c>
      <c r="G961" s="79">
        <f t="shared" si="1595"/>
        <v>32360</v>
      </c>
      <c r="H961" s="79">
        <f t="shared" si="1595"/>
        <v>34600</v>
      </c>
      <c r="I961" s="79">
        <f t="shared" si="1595"/>
        <v>36840</v>
      </c>
      <c r="J961" s="80">
        <f t="shared" si="1583"/>
        <v>488</v>
      </c>
      <c r="K961" s="80">
        <f t="shared" si="1584"/>
        <v>523</v>
      </c>
      <c r="L961" s="80">
        <f t="shared" si="1585"/>
        <v>628</v>
      </c>
      <c r="M961" s="80">
        <f t="shared" si="1586"/>
        <v>725</v>
      </c>
      <c r="N961" s="80">
        <f t="shared" si="1587"/>
        <v>809</v>
      </c>
      <c r="O961" s="80">
        <f t="shared" si="1588"/>
        <v>893</v>
      </c>
      <c r="P961" s="81"/>
      <c r="Q961" s="81"/>
      <c r="R961" s="81"/>
      <c r="S961" s="81"/>
      <c r="T961" s="81"/>
      <c r="U961" s="81"/>
      <c r="V961" s="81"/>
      <c r="W961" s="81"/>
      <c r="X961" s="81"/>
      <c r="Y961" s="81"/>
      <c r="Z961" s="81"/>
      <c r="AA961" s="81"/>
      <c r="AB961" s="81"/>
      <c r="AC961" s="81"/>
      <c r="AD961" s="81"/>
      <c r="AE961" s="81"/>
      <c r="AF961" s="81"/>
    </row>
    <row r="962" spans="1:32">
      <c r="A962" s="76" t="s">
        <v>1696</v>
      </c>
      <c r="B962" s="79">
        <f>B963*2*0.45</f>
        <v>21960</v>
      </c>
      <c r="C962" s="79">
        <f t="shared" ref="C962:I962" si="1596">C963*2*0.45</f>
        <v>25110</v>
      </c>
      <c r="D962" s="79">
        <f t="shared" si="1596"/>
        <v>28260</v>
      </c>
      <c r="E962" s="79">
        <f t="shared" si="1596"/>
        <v>31365</v>
      </c>
      <c r="F962" s="79">
        <f t="shared" si="1596"/>
        <v>33885</v>
      </c>
      <c r="G962" s="79">
        <f t="shared" si="1596"/>
        <v>36405</v>
      </c>
      <c r="H962" s="79">
        <f t="shared" si="1596"/>
        <v>38925</v>
      </c>
      <c r="I962" s="79">
        <f t="shared" si="1596"/>
        <v>41445</v>
      </c>
      <c r="J962" s="80">
        <f t="shared" si="1583"/>
        <v>549</v>
      </c>
      <c r="K962" s="80">
        <f t="shared" si="1584"/>
        <v>588</v>
      </c>
      <c r="L962" s="80">
        <f t="shared" si="1585"/>
        <v>706</v>
      </c>
      <c r="M962" s="80">
        <f t="shared" si="1586"/>
        <v>815</v>
      </c>
      <c r="N962" s="80">
        <f t="shared" si="1587"/>
        <v>910</v>
      </c>
      <c r="O962" s="80">
        <f t="shared" si="1588"/>
        <v>1004</v>
      </c>
      <c r="P962" s="81"/>
      <c r="Q962" s="81"/>
      <c r="R962" s="81"/>
      <c r="S962" s="81"/>
      <c r="T962" s="81"/>
      <c r="U962" s="81"/>
      <c r="V962" s="81"/>
      <c r="W962" s="81"/>
      <c r="X962" s="81"/>
      <c r="Y962" s="81"/>
      <c r="Z962" s="81"/>
      <c r="AA962" s="81"/>
      <c r="AB962" s="81"/>
      <c r="AC962" s="81"/>
      <c r="AD962" s="81"/>
      <c r="AE962" s="81"/>
      <c r="AF962" s="81"/>
    </row>
    <row r="963" spans="1:32">
      <c r="A963" s="82" t="s">
        <v>1697</v>
      </c>
      <c r="B963" s="84">
        <f>'MTSP 50% Income Limits '!B55</f>
        <v>24400</v>
      </c>
      <c r="C963" s="84">
        <f>'MTSP 50% Income Limits '!C55</f>
        <v>27900</v>
      </c>
      <c r="D963" s="84">
        <f>'MTSP 50% Income Limits '!D55</f>
        <v>31400</v>
      </c>
      <c r="E963" s="84">
        <f>'MTSP 50% Income Limits '!E55</f>
        <v>34850</v>
      </c>
      <c r="F963" s="84">
        <f>'MTSP 50% Income Limits '!F55</f>
        <v>37650</v>
      </c>
      <c r="G963" s="84">
        <f>'MTSP 50% Income Limits '!G55</f>
        <v>40450</v>
      </c>
      <c r="H963" s="84">
        <f>'MTSP 50% Income Limits '!H55</f>
        <v>43250</v>
      </c>
      <c r="I963" s="84">
        <f>'MTSP 50% Income Limits '!I55</f>
        <v>46050</v>
      </c>
      <c r="J963" s="83">
        <f>TRUNC(B963/12*0.3)</f>
        <v>610</v>
      </c>
      <c r="K963" s="83">
        <f>TRUNC((B963+C963)/2/12*0.3)</f>
        <v>653</v>
      </c>
      <c r="L963" s="83">
        <f>TRUNC((D963)/12*0.3)</f>
        <v>785</v>
      </c>
      <c r="M963" s="83">
        <f>TRUNC(((E963+F963)/2)/12*0.3)</f>
        <v>906</v>
      </c>
      <c r="N963" s="83">
        <f>TRUNC(G963/12*0.3)</f>
        <v>1011</v>
      </c>
      <c r="O963" s="83">
        <f>TRUNC(((H963+I963)/2)/12*0.3)</f>
        <v>1116</v>
      </c>
      <c r="P963" s="81"/>
      <c r="Q963" s="81"/>
      <c r="R963" s="81"/>
      <c r="S963" s="81"/>
      <c r="T963" s="81"/>
      <c r="U963" s="81"/>
      <c r="V963" s="81"/>
      <c r="W963" s="81"/>
      <c r="X963" s="81"/>
      <c r="Y963" s="81"/>
      <c r="Z963" s="81"/>
      <c r="AA963" s="81"/>
      <c r="AB963" s="81"/>
      <c r="AC963" s="81"/>
      <c r="AD963" s="81"/>
      <c r="AE963" s="81"/>
      <c r="AF963" s="81"/>
    </row>
    <row r="964" spans="1:32">
      <c r="A964" s="76" t="s">
        <v>1698</v>
      </c>
      <c r="B964" s="79">
        <f>B963*2*0.55</f>
        <v>26840.000000000004</v>
      </c>
      <c r="C964" s="79">
        <f t="shared" ref="C964:I964" si="1597">C963*2*0.55</f>
        <v>30690.000000000004</v>
      </c>
      <c r="D964" s="79">
        <f t="shared" si="1597"/>
        <v>34540</v>
      </c>
      <c r="E964" s="79">
        <f t="shared" si="1597"/>
        <v>38335</v>
      </c>
      <c r="F964" s="79">
        <f t="shared" si="1597"/>
        <v>41415</v>
      </c>
      <c r="G964" s="79">
        <f t="shared" si="1597"/>
        <v>44495</v>
      </c>
      <c r="H964" s="79">
        <f t="shared" si="1597"/>
        <v>47575.000000000007</v>
      </c>
      <c r="I964" s="79">
        <f t="shared" si="1597"/>
        <v>50655.000000000007</v>
      </c>
      <c r="J964" s="80">
        <f t="shared" ref="J964:J970" si="1598">TRUNC(B964/12*0.3)</f>
        <v>671</v>
      </c>
      <c r="K964" s="80">
        <f t="shared" ref="K964:K970" si="1599">TRUNC((B964+C964)/2/12*0.3)</f>
        <v>719</v>
      </c>
      <c r="L964" s="80">
        <f t="shared" ref="L964:L970" si="1600">TRUNC((D964)/12*0.3)</f>
        <v>863</v>
      </c>
      <c r="M964" s="80">
        <f t="shared" ref="M964:M970" si="1601">TRUNC(((E964+F964)/2)/12*0.3)</f>
        <v>996</v>
      </c>
      <c r="N964" s="80">
        <f t="shared" ref="N964:N970" si="1602">TRUNC(G964/12*0.3)</f>
        <v>1112</v>
      </c>
      <c r="O964" s="80">
        <f t="shared" ref="O964:O970" si="1603">TRUNC(((H964+I964)/2)/12*0.3)</f>
        <v>1227</v>
      </c>
      <c r="P964" s="81"/>
      <c r="Q964" s="81"/>
      <c r="R964" s="81"/>
      <c r="S964" s="81"/>
      <c r="T964" s="81"/>
      <c r="U964" s="81"/>
      <c r="V964" s="81"/>
      <c r="W964" s="81"/>
      <c r="X964" s="81"/>
      <c r="Y964" s="81"/>
      <c r="Z964" s="81"/>
      <c r="AA964" s="81"/>
      <c r="AB964" s="81"/>
      <c r="AC964" s="81"/>
      <c r="AD964" s="81"/>
      <c r="AE964" s="81"/>
      <c r="AF964" s="81"/>
    </row>
    <row r="965" spans="1:32">
      <c r="A965" s="76" t="s">
        <v>1699</v>
      </c>
      <c r="B965" s="79">
        <f>B963*2*0.6</f>
        <v>29280</v>
      </c>
      <c r="C965" s="79">
        <f t="shared" ref="C965:I965" si="1604">C963*2*0.6</f>
        <v>33480</v>
      </c>
      <c r="D965" s="79">
        <f t="shared" si="1604"/>
        <v>37680</v>
      </c>
      <c r="E965" s="79">
        <f t="shared" si="1604"/>
        <v>41820</v>
      </c>
      <c r="F965" s="79">
        <f t="shared" si="1604"/>
        <v>45180</v>
      </c>
      <c r="G965" s="79">
        <f t="shared" si="1604"/>
        <v>48540</v>
      </c>
      <c r="H965" s="79">
        <f t="shared" si="1604"/>
        <v>51900</v>
      </c>
      <c r="I965" s="79">
        <f t="shared" si="1604"/>
        <v>55260</v>
      </c>
      <c r="J965" s="80">
        <f t="shared" si="1598"/>
        <v>732</v>
      </c>
      <c r="K965" s="80">
        <f t="shared" si="1599"/>
        <v>784</v>
      </c>
      <c r="L965" s="80">
        <f t="shared" si="1600"/>
        <v>942</v>
      </c>
      <c r="M965" s="80">
        <f t="shared" si="1601"/>
        <v>1087</v>
      </c>
      <c r="N965" s="80">
        <f t="shared" si="1602"/>
        <v>1213</v>
      </c>
      <c r="O965" s="80">
        <f t="shared" si="1603"/>
        <v>1339</v>
      </c>
      <c r="P965" s="81"/>
      <c r="Q965" s="81"/>
      <c r="R965" s="81"/>
      <c r="S965" s="81"/>
      <c r="T965" s="81"/>
      <c r="U965" s="81"/>
      <c r="V965" s="81"/>
      <c r="W965" s="81"/>
      <c r="X965" s="81"/>
      <c r="Y965" s="81"/>
      <c r="Z965" s="81"/>
      <c r="AA965" s="81"/>
      <c r="AB965" s="81"/>
      <c r="AC965" s="81"/>
      <c r="AD965" s="81"/>
      <c r="AE965" s="81"/>
      <c r="AF965" s="81"/>
    </row>
    <row r="966" spans="1:32">
      <c r="A966" s="76" t="s">
        <v>1700</v>
      </c>
      <c r="B966" s="79">
        <f>B963*2*0.65</f>
        <v>31720</v>
      </c>
      <c r="C966" s="79">
        <f t="shared" ref="C966:I966" si="1605">C963*2*0.65</f>
        <v>36270</v>
      </c>
      <c r="D966" s="79">
        <f t="shared" si="1605"/>
        <v>40820</v>
      </c>
      <c r="E966" s="79">
        <f t="shared" si="1605"/>
        <v>45305</v>
      </c>
      <c r="F966" s="79">
        <f t="shared" si="1605"/>
        <v>48945</v>
      </c>
      <c r="G966" s="79">
        <f t="shared" si="1605"/>
        <v>52585</v>
      </c>
      <c r="H966" s="79">
        <f t="shared" si="1605"/>
        <v>56225</v>
      </c>
      <c r="I966" s="79">
        <f t="shared" si="1605"/>
        <v>59865</v>
      </c>
      <c r="J966" s="80">
        <f t="shared" si="1598"/>
        <v>793</v>
      </c>
      <c r="K966" s="80">
        <f t="shared" si="1599"/>
        <v>849</v>
      </c>
      <c r="L966" s="80">
        <f t="shared" si="1600"/>
        <v>1020</v>
      </c>
      <c r="M966" s="80">
        <f t="shared" si="1601"/>
        <v>1178</v>
      </c>
      <c r="N966" s="80">
        <f t="shared" si="1602"/>
        <v>1314</v>
      </c>
      <c r="O966" s="80">
        <f t="shared" si="1603"/>
        <v>1451</v>
      </c>
      <c r="P966" s="81"/>
      <c r="Q966" s="81"/>
      <c r="R966" s="81"/>
      <c r="S966" s="81"/>
      <c r="T966" s="81"/>
      <c r="U966" s="81"/>
      <c r="V966" s="81"/>
      <c r="W966" s="81"/>
      <c r="X966" s="81"/>
      <c r="Y966" s="81"/>
      <c r="Z966" s="81"/>
      <c r="AA966" s="81"/>
      <c r="AB966" s="81"/>
      <c r="AC966" s="81"/>
      <c r="AD966" s="81"/>
      <c r="AE966" s="81"/>
      <c r="AF966" s="81"/>
    </row>
    <row r="967" spans="1:32">
      <c r="A967" s="76" t="s">
        <v>1701</v>
      </c>
      <c r="B967" s="79">
        <f>B963*2*0.7</f>
        <v>34160</v>
      </c>
      <c r="C967" s="79">
        <f t="shared" ref="C967:I967" si="1606">C963*2*0.7</f>
        <v>39060</v>
      </c>
      <c r="D967" s="79">
        <f t="shared" si="1606"/>
        <v>43960</v>
      </c>
      <c r="E967" s="79">
        <f t="shared" si="1606"/>
        <v>48790</v>
      </c>
      <c r="F967" s="79">
        <f t="shared" si="1606"/>
        <v>52710</v>
      </c>
      <c r="G967" s="79">
        <f t="shared" si="1606"/>
        <v>56630</v>
      </c>
      <c r="H967" s="79">
        <f t="shared" si="1606"/>
        <v>60549.999999999993</v>
      </c>
      <c r="I967" s="79">
        <f t="shared" si="1606"/>
        <v>64469.999999999993</v>
      </c>
      <c r="J967" s="80">
        <f t="shared" si="1598"/>
        <v>854</v>
      </c>
      <c r="K967" s="80">
        <f t="shared" si="1599"/>
        <v>915</v>
      </c>
      <c r="L967" s="80">
        <f t="shared" si="1600"/>
        <v>1099</v>
      </c>
      <c r="M967" s="80">
        <f t="shared" si="1601"/>
        <v>1268</v>
      </c>
      <c r="N967" s="80">
        <f t="shared" si="1602"/>
        <v>1415</v>
      </c>
      <c r="O967" s="80">
        <f t="shared" si="1603"/>
        <v>1562</v>
      </c>
      <c r="P967" s="81"/>
      <c r="Q967" s="81"/>
      <c r="R967" s="81"/>
      <c r="S967" s="81"/>
      <c r="T967" s="81"/>
      <c r="U967" s="81"/>
      <c r="V967" s="81"/>
      <c r="W967" s="81"/>
      <c r="X967" s="81"/>
      <c r="Y967" s="81"/>
      <c r="Z967" s="81"/>
      <c r="AA967" s="81"/>
      <c r="AB967" s="81"/>
      <c r="AC967" s="81"/>
      <c r="AD967" s="81"/>
      <c r="AE967" s="81"/>
      <c r="AF967" s="81"/>
    </row>
    <row r="968" spans="1:32">
      <c r="A968" s="76" t="s">
        <v>1702</v>
      </c>
      <c r="B968" s="79">
        <f>B963*2*0.75</f>
        <v>36600</v>
      </c>
      <c r="C968" s="79">
        <f t="shared" ref="C968:I968" si="1607">C963*2*0.75</f>
        <v>41850</v>
      </c>
      <c r="D968" s="79">
        <f t="shared" si="1607"/>
        <v>47100</v>
      </c>
      <c r="E968" s="79">
        <f t="shared" si="1607"/>
        <v>52275</v>
      </c>
      <c r="F968" s="79">
        <f t="shared" si="1607"/>
        <v>56475</v>
      </c>
      <c r="G968" s="79">
        <f t="shared" si="1607"/>
        <v>60675</v>
      </c>
      <c r="H968" s="79">
        <f t="shared" si="1607"/>
        <v>64875</v>
      </c>
      <c r="I968" s="79">
        <f t="shared" si="1607"/>
        <v>69075</v>
      </c>
      <c r="J968" s="80">
        <f t="shared" si="1598"/>
        <v>915</v>
      </c>
      <c r="K968" s="80">
        <f t="shared" si="1599"/>
        <v>980</v>
      </c>
      <c r="L968" s="80">
        <f t="shared" si="1600"/>
        <v>1177</v>
      </c>
      <c r="M968" s="80">
        <f t="shared" si="1601"/>
        <v>1359</v>
      </c>
      <c r="N968" s="80">
        <f t="shared" si="1602"/>
        <v>1516</v>
      </c>
      <c r="O968" s="80">
        <f t="shared" si="1603"/>
        <v>1674</v>
      </c>
      <c r="P968" s="81"/>
      <c r="Q968" s="81"/>
      <c r="R968" s="81"/>
      <c r="S968" s="81"/>
      <c r="T968" s="81"/>
      <c r="U968" s="81"/>
      <c r="V968" s="81"/>
      <c r="W968" s="81"/>
      <c r="X968" s="81"/>
      <c r="Y968" s="81"/>
      <c r="Z968" s="81"/>
      <c r="AA968" s="81"/>
      <c r="AB968" s="81"/>
      <c r="AC968" s="81"/>
      <c r="AD968" s="81"/>
      <c r="AE968" s="81"/>
      <c r="AF968" s="81"/>
    </row>
    <row r="969" spans="1:32">
      <c r="A969" s="76" t="s">
        <v>1703</v>
      </c>
      <c r="B969" s="79">
        <f>B963*2*0.8</f>
        <v>39040</v>
      </c>
      <c r="C969" s="79">
        <f t="shared" ref="C969:I969" si="1608">C963*2*0.8</f>
        <v>44640</v>
      </c>
      <c r="D969" s="79">
        <f t="shared" si="1608"/>
        <v>50240</v>
      </c>
      <c r="E969" s="79">
        <f t="shared" si="1608"/>
        <v>55760</v>
      </c>
      <c r="F969" s="79">
        <f t="shared" si="1608"/>
        <v>60240</v>
      </c>
      <c r="G969" s="79">
        <f t="shared" si="1608"/>
        <v>64720</v>
      </c>
      <c r="H969" s="79">
        <f t="shared" si="1608"/>
        <v>69200</v>
      </c>
      <c r="I969" s="79">
        <f t="shared" si="1608"/>
        <v>73680</v>
      </c>
      <c r="J969" s="80">
        <f t="shared" si="1598"/>
        <v>976</v>
      </c>
      <c r="K969" s="80">
        <f t="shared" si="1599"/>
        <v>1046</v>
      </c>
      <c r="L969" s="80">
        <f t="shared" si="1600"/>
        <v>1256</v>
      </c>
      <c r="M969" s="80">
        <f t="shared" si="1601"/>
        <v>1450</v>
      </c>
      <c r="N969" s="80">
        <f t="shared" si="1602"/>
        <v>1618</v>
      </c>
      <c r="O969" s="80">
        <f t="shared" si="1603"/>
        <v>1786</v>
      </c>
      <c r="P969" s="81"/>
      <c r="Q969" s="81"/>
      <c r="R969" s="81"/>
      <c r="S969" s="81"/>
      <c r="T969" s="81"/>
      <c r="U969" s="81"/>
      <c r="V969" s="81"/>
      <c r="W969" s="81"/>
      <c r="X969" s="81"/>
      <c r="Y969" s="81"/>
      <c r="Z969" s="81"/>
      <c r="AA969" s="81"/>
      <c r="AB969" s="81"/>
      <c r="AC969" s="81"/>
      <c r="AD969" s="81"/>
      <c r="AE969" s="81"/>
      <c r="AF969" s="81"/>
    </row>
    <row r="970" spans="1:32">
      <c r="A970" s="76" t="s">
        <v>1704</v>
      </c>
      <c r="B970" s="79">
        <f>B963*2*0.9</f>
        <v>43920</v>
      </c>
      <c r="C970" s="79">
        <f t="shared" ref="C970:I970" si="1609">C963*2*0.9</f>
        <v>50220</v>
      </c>
      <c r="D970" s="79">
        <f t="shared" si="1609"/>
        <v>56520</v>
      </c>
      <c r="E970" s="79">
        <f t="shared" si="1609"/>
        <v>62730</v>
      </c>
      <c r="F970" s="79">
        <f t="shared" si="1609"/>
        <v>67770</v>
      </c>
      <c r="G970" s="79">
        <f t="shared" si="1609"/>
        <v>72810</v>
      </c>
      <c r="H970" s="79">
        <f t="shared" si="1609"/>
        <v>77850</v>
      </c>
      <c r="I970" s="79">
        <f t="shared" si="1609"/>
        <v>82890</v>
      </c>
      <c r="J970" s="80">
        <f t="shared" si="1598"/>
        <v>1098</v>
      </c>
      <c r="K970" s="80">
        <f t="shared" si="1599"/>
        <v>1176</v>
      </c>
      <c r="L970" s="80">
        <f t="shared" si="1600"/>
        <v>1413</v>
      </c>
      <c r="M970" s="80">
        <f t="shared" si="1601"/>
        <v>1631</v>
      </c>
      <c r="N970" s="80">
        <f t="shared" si="1602"/>
        <v>1820</v>
      </c>
      <c r="O970" s="80">
        <f t="shared" si="1603"/>
        <v>2009</v>
      </c>
      <c r="P970" s="81"/>
      <c r="Q970" s="81"/>
      <c r="R970" s="81"/>
      <c r="S970" s="81"/>
      <c r="T970" s="81"/>
      <c r="U970" s="81"/>
      <c r="V970" s="81"/>
      <c r="W970" s="81"/>
      <c r="X970" s="81"/>
      <c r="Y970" s="81"/>
      <c r="Z970" s="81"/>
      <c r="AA970" s="81"/>
      <c r="AB970" s="81"/>
      <c r="AC970" s="81"/>
      <c r="AD970" s="81"/>
      <c r="AE970" s="81"/>
      <c r="AF970" s="81"/>
    </row>
    <row r="971" spans="1:32">
      <c r="A971" s="76" t="s">
        <v>1705</v>
      </c>
      <c r="B971" s="79">
        <f>B963*2</f>
        <v>48800</v>
      </c>
      <c r="C971" s="79">
        <f t="shared" ref="C971:I971" si="1610">C963*2</f>
        <v>55800</v>
      </c>
      <c r="D971" s="79">
        <f t="shared" si="1610"/>
        <v>62800</v>
      </c>
      <c r="E971" s="79">
        <f t="shared" si="1610"/>
        <v>69700</v>
      </c>
      <c r="F971" s="79">
        <f t="shared" si="1610"/>
        <v>75300</v>
      </c>
      <c r="G971" s="79">
        <f t="shared" si="1610"/>
        <v>80900</v>
      </c>
      <c r="H971" s="79">
        <f t="shared" si="1610"/>
        <v>86500</v>
      </c>
      <c r="I971" s="79">
        <f t="shared" si="1610"/>
        <v>92100</v>
      </c>
      <c r="J971" s="80">
        <f>J963*2</f>
        <v>1220</v>
      </c>
      <c r="K971" s="80">
        <f t="shared" ref="K971:O971" si="1611">K963*2</f>
        <v>1306</v>
      </c>
      <c r="L971" s="80">
        <f t="shared" si="1611"/>
        <v>1570</v>
      </c>
      <c r="M971" s="80">
        <f t="shared" si="1611"/>
        <v>1812</v>
      </c>
      <c r="N971" s="80">
        <f t="shared" si="1611"/>
        <v>2022</v>
      </c>
      <c r="O971" s="80">
        <f t="shared" si="1611"/>
        <v>2232</v>
      </c>
      <c r="P971" s="81"/>
      <c r="Q971" s="81"/>
      <c r="R971" s="81"/>
      <c r="S971" s="81"/>
      <c r="T971" s="81"/>
      <c r="U971" s="81"/>
      <c r="V971" s="81"/>
      <c r="W971" s="81"/>
      <c r="X971" s="81"/>
      <c r="Y971" s="81"/>
      <c r="Z971" s="81"/>
      <c r="AA971" s="81"/>
      <c r="AB971" s="81"/>
      <c r="AC971" s="81"/>
      <c r="AD971" s="81"/>
      <c r="AE971" s="81"/>
      <c r="AF971" s="81"/>
    </row>
    <row r="972" spans="1:32">
      <c r="A972" s="76" t="s">
        <v>1706</v>
      </c>
      <c r="B972" s="79">
        <f>B963*2*1.1</f>
        <v>53680.000000000007</v>
      </c>
      <c r="C972" s="79">
        <f t="shared" ref="C972:I972" si="1612">C963*2*1.1</f>
        <v>61380.000000000007</v>
      </c>
      <c r="D972" s="79">
        <f t="shared" si="1612"/>
        <v>69080</v>
      </c>
      <c r="E972" s="79">
        <f t="shared" si="1612"/>
        <v>76670</v>
      </c>
      <c r="F972" s="79">
        <f t="shared" si="1612"/>
        <v>82830</v>
      </c>
      <c r="G972" s="79">
        <f t="shared" si="1612"/>
        <v>88990</v>
      </c>
      <c r="H972" s="79">
        <f t="shared" si="1612"/>
        <v>95150.000000000015</v>
      </c>
      <c r="I972" s="79">
        <f t="shared" si="1612"/>
        <v>101310.00000000001</v>
      </c>
      <c r="J972" s="80">
        <f t="shared" ref="J972:J980" si="1613">TRUNC(B972/12*0.3)</f>
        <v>1342</v>
      </c>
      <c r="K972" s="80">
        <f t="shared" ref="K972:K980" si="1614">TRUNC((B972+C972)/2/12*0.3)</f>
        <v>1438</v>
      </c>
      <c r="L972" s="80">
        <f t="shared" ref="L972:L980" si="1615">TRUNC((D972)/12*0.3)</f>
        <v>1727</v>
      </c>
      <c r="M972" s="80">
        <f t="shared" ref="M972:M980" si="1616">TRUNC(((E972+F972)/2)/12*0.3)</f>
        <v>1993</v>
      </c>
      <c r="N972" s="80">
        <f t="shared" ref="N972:N980" si="1617">TRUNC(G972/12*0.3)</f>
        <v>2224</v>
      </c>
      <c r="O972" s="80">
        <f t="shared" ref="O972:O980" si="1618">TRUNC(((H972+I972)/2)/12*0.3)</f>
        <v>2455</v>
      </c>
      <c r="P972" s="81"/>
      <c r="Q972" s="81"/>
      <c r="R972" s="81"/>
      <c r="S972" s="81"/>
      <c r="T972" s="81"/>
      <c r="U972" s="81"/>
      <c r="V972" s="81"/>
      <c r="W972" s="81"/>
      <c r="X972" s="81"/>
      <c r="Y972" s="81"/>
      <c r="Z972" s="81"/>
      <c r="AA972" s="81"/>
      <c r="AB972" s="81"/>
      <c r="AC972" s="81"/>
      <c r="AD972" s="81"/>
      <c r="AE972" s="81"/>
      <c r="AF972" s="81"/>
    </row>
    <row r="973" spans="1:32">
      <c r="A973" s="76" t="s">
        <v>1707</v>
      </c>
      <c r="B973" s="79">
        <f>B963*2*1.2</f>
        <v>58560</v>
      </c>
      <c r="C973" s="79">
        <f t="shared" ref="C973:I973" si="1619">C963*2*1.2</f>
        <v>66960</v>
      </c>
      <c r="D973" s="79">
        <f t="shared" si="1619"/>
        <v>75360</v>
      </c>
      <c r="E973" s="79">
        <f t="shared" si="1619"/>
        <v>83640</v>
      </c>
      <c r="F973" s="79">
        <f t="shared" si="1619"/>
        <v>90360</v>
      </c>
      <c r="G973" s="79">
        <f t="shared" si="1619"/>
        <v>97080</v>
      </c>
      <c r="H973" s="79">
        <f t="shared" si="1619"/>
        <v>103800</v>
      </c>
      <c r="I973" s="79">
        <f t="shared" si="1619"/>
        <v>110520</v>
      </c>
      <c r="J973" s="80">
        <f t="shared" si="1613"/>
        <v>1464</v>
      </c>
      <c r="K973" s="80">
        <f t="shared" si="1614"/>
        <v>1569</v>
      </c>
      <c r="L973" s="80">
        <f t="shared" si="1615"/>
        <v>1884</v>
      </c>
      <c r="M973" s="80">
        <f t="shared" si="1616"/>
        <v>2175</v>
      </c>
      <c r="N973" s="80">
        <f t="shared" si="1617"/>
        <v>2427</v>
      </c>
      <c r="O973" s="80">
        <f t="shared" si="1618"/>
        <v>2679</v>
      </c>
      <c r="P973" s="81"/>
      <c r="Q973" s="81"/>
      <c r="R973" s="81"/>
      <c r="S973" s="81"/>
      <c r="T973" s="81"/>
      <c r="U973" s="81"/>
      <c r="V973" s="81"/>
      <c r="W973" s="81"/>
      <c r="X973" s="81"/>
      <c r="Y973" s="81"/>
      <c r="Z973" s="81"/>
      <c r="AA973" s="81"/>
      <c r="AB973" s="81"/>
      <c r="AC973" s="81"/>
      <c r="AD973" s="81"/>
      <c r="AE973" s="81"/>
      <c r="AF973" s="81"/>
    </row>
    <row r="974" spans="1:32">
      <c r="A974" s="76" t="s">
        <v>1708</v>
      </c>
      <c r="B974" s="79">
        <f>B981*2*0.15</f>
        <v>7815</v>
      </c>
      <c r="C974" s="79">
        <f>C981*2*0.15</f>
        <v>8940</v>
      </c>
      <c r="D974" s="79">
        <f>D981*2*0.15</f>
        <v>10050</v>
      </c>
      <c r="E974" s="79">
        <f>E981*2*0.15</f>
        <v>11160</v>
      </c>
      <c r="F974" s="79">
        <f>F981*2*0.15</f>
        <v>12060</v>
      </c>
      <c r="G974" s="79">
        <f t="shared" ref="G974:I974" si="1620">G981*2*0.15</f>
        <v>12960</v>
      </c>
      <c r="H974" s="79">
        <f t="shared" si="1620"/>
        <v>13845</v>
      </c>
      <c r="I974" s="79">
        <f t="shared" si="1620"/>
        <v>14745</v>
      </c>
      <c r="J974" s="80">
        <f t="shared" si="1613"/>
        <v>195</v>
      </c>
      <c r="K974" s="80">
        <f t="shared" si="1614"/>
        <v>209</v>
      </c>
      <c r="L974" s="80">
        <f t="shared" si="1615"/>
        <v>251</v>
      </c>
      <c r="M974" s="80">
        <f t="shared" si="1616"/>
        <v>290</v>
      </c>
      <c r="N974" s="80">
        <f t="shared" si="1617"/>
        <v>324</v>
      </c>
      <c r="O974" s="80">
        <f t="shared" si="1618"/>
        <v>357</v>
      </c>
      <c r="P974" s="81"/>
      <c r="Q974" s="81"/>
      <c r="R974" s="81"/>
      <c r="S974" s="81"/>
      <c r="T974" s="81"/>
      <c r="U974" s="81"/>
      <c r="V974" s="81"/>
      <c r="W974" s="81"/>
      <c r="X974" s="81"/>
      <c r="Y974" s="81"/>
      <c r="Z974" s="81"/>
      <c r="AA974" s="81"/>
      <c r="AB974" s="81"/>
      <c r="AC974" s="81"/>
      <c r="AD974" s="81"/>
      <c r="AE974" s="81"/>
      <c r="AF974" s="81"/>
    </row>
    <row r="975" spans="1:32">
      <c r="A975" s="76" t="s">
        <v>1709</v>
      </c>
      <c r="B975" s="79">
        <f>B981*2*0.2</f>
        <v>10420</v>
      </c>
      <c r="C975" s="79">
        <f t="shared" ref="C975:I975" si="1621">C981*2*0.2</f>
        <v>11920</v>
      </c>
      <c r="D975" s="79">
        <f t="shared" si="1621"/>
        <v>13400</v>
      </c>
      <c r="E975" s="79">
        <f t="shared" si="1621"/>
        <v>14880</v>
      </c>
      <c r="F975" s="79">
        <f t="shared" si="1621"/>
        <v>16080</v>
      </c>
      <c r="G975" s="79">
        <f t="shared" si="1621"/>
        <v>17280</v>
      </c>
      <c r="H975" s="79">
        <f t="shared" si="1621"/>
        <v>18460</v>
      </c>
      <c r="I975" s="79">
        <f t="shared" si="1621"/>
        <v>19660</v>
      </c>
      <c r="J975" s="80">
        <f t="shared" si="1613"/>
        <v>260</v>
      </c>
      <c r="K975" s="80">
        <f t="shared" si="1614"/>
        <v>279</v>
      </c>
      <c r="L975" s="80">
        <f t="shared" si="1615"/>
        <v>335</v>
      </c>
      <c r="M975" s="80">
        <f t="shared" si="1616"/>
        <v>387</v>
      </c>
      <c r="N975" s="80">
        <f t="shared" si="1617"/>
        <v>432</v>
      </c>
      <c r="O975" s="80">
        <f t="shared" si="1618"/>
        <v>476</v>
      </c>
      <c r="P975" s="81"/>
      <c r="Q975" s="81"/>
      <c r="R975" s="81"/>
      <c r="S975" s="81"/>
      <c r="T975" s="81"/>
      <c r="U975" s="81"/>
      <c r="V975" s="81"/>
      <c r="W975" s="81"/>
      <c r="X975" s="81"/>
      <c r="Y975" s="81"/>
      <c r="Z975" s="81"/>
      <c r="AA975" s="81"/>
      <c r="AB975" s="81"/>
      <c r="AC975" s="81"/>
      <c r="AD975" s="81"/>
      <c r="AE975" s="81"/>
      <c r="AF975" s="81"/>
    </row>
    <row r="976" spans="1:32">
      <c r="A976" s="76" t="s">
        <v>1710</v>
      </c>
      <c r="B976" s="79">
        <f>B981*2*0.25</f>
        <v>13025</v>
      </c>
      <c r="C976" s="79">
        <f t="shared" ref="C976:I976" si="1622">C981*2*0.25</f>
        <v>14900</v>
      </c>
      <c r="D976" s="79">
        <f t="shared" si="1622"/>
        <v>16750</v>
      </c>
      <c r="E976" s="79">
        <f t="shared" si="1622"/>
        <v>18600</v>
      </c>
      <c r="F976" s="79">
        <f t="shared" si="1622"/>
        <v>20100</v>
      </c>
      <c r="G976" s="79">
        <f t="shared" si="1622"/>
        <v>21600</v>
      </c>
      <c r="H976" s="79">
        <f t="shared" si="1622"/>
        <v>23075</v>
      </c>
      <c r="I976" s="79">
        <f t="shared" si="1622"/>
        <v>24575</v>
      </c>
      <c r="J976" s="80">
        <f t="shared" si="1613"/>
        <v>325</v>
      </c>
      <c r="K976" s="80">
        <f t="shared" si="1614"/>
        <v>349</v>
      </c>
      <c r="L976" s="80">
        <f t="shared" si="1615"/>
        <v>418</v>
      </c>
      <c r="M976" s="80">
        <f t="shared" si="1616"/>
        <v>483</v>
      </c>
      <c r="N976" s="80">
        <f t="shared" si="1617"/>
        <v>540</v>
      </c>
      <c r="O976" s="80">
        <f t="shared" si="1618"/>
        <v>595</v>
      </c>
      <c r="P976" s="81"/>
      <c r="Q976" s="81"/>
      <c r="R976" s="81"/>
      <c r="S976" s="81"/>
      <c r="T976" s="81"/>
      <c r="U976" s="81"/>
      <c r="V976" s="81"/>
      <c r="W976" s="81"/>
      <c r="X976" s="81"/>
      <c r="Y976" s="81"/>
      <c r="Z976" s="81"/>
      <c r="AA976" s="81"/>
      <c r="AB976" s="81"/>
      <c r="AC976" s="81"/>
      <c r="AD976" s="81"/>
      <c r="AE976" s="81"/>
      <c r="AF976" s="81"/>
    </row>
    <row r="977" spans="1:32">
      <c r="A977" s="76" t="s">
        <v>1711</v>
      </c>
      <c r="B977" s="79">
        <f>B981*2*0.3</f>
        <v>15630</v>
      </c>
      <c r="C977" s="79">
        <f t="shared" ref="C977:I977" si="1623">C981*2*0.3</f>
        <v>17880</v>
      </c>
      <c r="D977" s="79">
        <f t="shared" si="1623"/>
        <v>20100</v>
      </c>
      <c r="E977" s="79">
        <f t="shared" si="1623"/>
        <v>22320</v>
      </c>
      <c r="F977" s="79">
        <f t="shared" si="1623"/>
        <v>24120</v>
      </c>
      <c r="G977" s="79">
        <f t="shared" si="1623"/>
        <v>25920</v>
      </c>
      <c r="H977" s="79">
        <f t="shared" si="1623"/>
        <v>27690</v>
      </c>
      <c r="I977" s="79">
        <f t="shared" si="1623"/>
        <v>29490</v>
      </c>
      <c r="J977" s="80">
        <f t="shared" si="1613"/>
        <v>390</v>
      </c>
      <c r="K977" s="80">
        <f t="shared" si="1614"/>
        <v>418</v>
      </c>
      <c r="L977" s="80">
        <f t="shared" si="1615"/>
        <v>502</v>
      </c>
      <c r="M977" s="80">
        <f t="shared" si="1616"/>
        <v>580</v>
      </c>
      <c r="N977" s="80">
        <f t="shared" si="1617"/>
        <v>648</v>
      </c>
      <c r="O977" s="80">
        <f t="shared" si="1618"/>
        <v>714</v>
      </c>
      <c r="P977" s="81"/>
      <c r="Q977" s="81"/>
      <c r="R977" s="81"/>
      <c r="S977" s="81"/>
      <c r="T977" s="81"/>
      <c r="U977" s="81"/>
      <c r="V977" s="81"/>
      <c r="W977" s="81"/>
      <c r="X977" s="81"/>
      <c r="Y977" s="81"/>
      <c r="Z977" s="81"/>
      <c r="AA977" s="81"/>
      <c r="AB977" s="81"/>
      <c r="AC977" s="81"/>
      <c r="AD977" s="81"/>
      <c r="AE977" s="81"/>
      <c r="AF977" s="81"/>
    </row>
    <row r="978" spans="1:32">
      <c r="A978" s="76" t="s">
        <v>1712</v>
      </c>
      <c r="B978" s="79">
        <f>B981*2*0.35</f>
        <v>18235</v>
      </c>
      <c r="C978" s="79">
        <f t="shared" ref="C978:I978" si="1624">C981*2*0.35</f>
        <v>20860</v>
      </c>
      <c r="D978" s="79">
        <f t="shared" si="1624"/>
        <v>23450</v>
      </c>
      <c r="E978" s="79">
        <f t="shared" si="1624"/>
        <v>26040</v>
      </c>
      <c r="F978" s="79">
        <f t="shared" si="1624"/>
        <v>28140</v>
      </c>
      <c r="G978" s="79">
        <f t="shared" si="1624"/>
        <v>30239.999999999996</v>
      </c>
      <c r="H978" s="79">
        <f t="shared" si="1624"/>
        <v>32304.999999999996</v>
      </c>
      <c r="I978" s="79">
        <f t="shared" si="1624"/>
        <v>34405</v>
      </c>
      <c r="J978" s="80">
        <f t="shared" si="1613"/>
        <v>455</v>
      </c>
      <c r="K978" s="80">
        <f t="shared" si="1614"/>
        <v>488</v>
      </c>
      <c r="L978" s="80">
        <f t="shared" si="1615"/>
        <v>586</v>
      </c>
      <c r="M978" s="80">
        <f t="shared" si="1616"/>
        <v>677</v>
      </c>
      <c r="N978" s="80">
        <f t="shared" si="1617"/>
        <v>756</v>
      </c>
      <c r="O978" s="80">
        <f t="shared" si="1618"/>
        <v>833</v>
      </c>
      <c r="P978" s="81"/>
      <c r="Q978" s="81"/>
      <c r="R978" s="81"/>
      <c r="S978" s="81"/>
      <c r="T978" s="81"/>
      <c r="U978" s="81"/>
      <c r="V978" s="81"/>
      <c r="W978" s="81"/>
      <c r="X978" s="81"/>
      <c r="Y978" s="81"/>
      <c r="Z978" s="81"/>
      <c r="AA978" s="81"/>
      <c r="AB978" s="81"/>
      <c r="AC978" s="81"/>
      <c r="AD978" s="81"/>
      <c r="AE978" s="81"/>
      <c r="AF978" s="81"/>
    </row>
    <row r="979" spans="1:32">
      <c r="A979" s="76" t="s">
        <v>1713</v>
      </c>
      <c r="B979" s="79">
        <f>B981*2*0.4</f>
        <v>20840</v>
      </c>
      <c r="C979" s="79">
        <f t="shared" ref="C979:I979" si="1625">C981*2*0.4</f>
        <v>23840</v>
      </c>
      <c r="D979" s="79">
        <f t="shared" si="1625"/>
        <v>26800</v>
      </c>
      <c r="E979" s="79">
        <f t="shared" si="1625"/>
        <v>29760</v>
      </c>
      <c r="F979" s="79">
        <f t="shared" si="1625"/>
        <v>32160</v>
      </c>
      <c r="G979" s="79">
        <f t="shared" si="1625"/>
        <v>34560</v>
      </c>
      <c r="H979" s="79">
        <f t="shared" si="1625"/>
        <v>36920</v>
      </c>
      <c r="I979" s="79">
        <f t="shared" si="1625"/>
        <v>39320</v>
      </c>
      <c r="J979" s="80">
        <f t="shared" si="1613"/>
        <v>521</v>
      </c>
      <c r="K979" s="80">
        <f t="shared" si="1614"/>
        <v>558</v>
      </c>
      <c r="L979" s="80">
        <f t="shared" si="1615"/>
        <v>670</v>
      </c>
      <c r="M979" s="80">
        <f t="shared" si="1616"/>
        <v>774</v>
      </c>
      <c r="N979" s="80">
        <f t="shared" si="1617"/>
        <v>864</v>
      </c>
      <c r="O979" s="80">
        <f t="shared" si="1618"/>
        <v>953</v>
      </c>
      <c r="P979" s="81"/>
      <c r="Q979" s="81"/>
      <c r="R979" s="81"/>
      <c r="S979" s="81"/>
      <c r="T979" s="81"/>
      <c r="U979" s="81"/>
      <c r="V979" s="81"/>
      <c r="W979" s="81"/>
      <c r="X979" s="81"/>
      <c r="Y979" s="81"/>
      <c r="Z979" s="81"/>
      <c r="AA979" s="81"/>
      <c r="AB979" s="81"/>
      <c r="AC979" s="81"/>
      <c r="AD979" s="81"/>
      <c r="AE979" s="81"/>
      <c r="AF979" s="81"/>
    </row>
    <row r="980" spans="1:32">
      <c r="A980" s="76" t="s">
        <v>1714</v>
      </c>
      <c r="B980" s="79">
        <f>B981*2*0.45</f>
        <v>23445</v>
      </c>
      <c r="C980" s="79">
        <f t="shared" ref="C980:I980" si="1626">C981*2*0.45</f>
        <v>26820</v>
      </c>
      <c r="D980" s="79">
        <f t="shared" si="1626"/>
        <v>30150</v>
      </c>
      <c r="E980" s="79">
        <f t="shared" si="1626"/>
        <v>33480</v>
      </c>
      <c r="F980" s="79">
        <f t="shared" si="1626"/>
        <v>36180</v>
      </c>
      <c r="G980" s="79">
        <f t="shared" si="1626"/>
        <v>38880</v>
      </c>
      <c r="H980" s="79">
        <f t="shared" si="1626"/>
        <v>41535</v>
      </c>
      <c r="I980" s="79">
        <f t="shared" si="1626"/>
        <v>44235</v>
      </c>
      <c r="J980" s="80">
        <f t="shared" si="1613"/>
        <v>586</v>
      </c>
      <c r="K980" s="80">
        <f t="shared" si="1614"/>
        <v>628</v>
      </c>
      <c r="L980" s="80">
        <f t="shared" si="1615"/>
        <v>753</v>
      </c>
      <c r="M980" s="80">
        <f t="shared" si="1616"/>
        <v>870</v>
      </c>
      <c r="N980" s="80">
        <f t="shared" si="1617"/>
        <v>972</v>
      </c>
      <c r="O980" s="80">
        <f t="shared" si="1618"/>
        <v>1072</v>
      </c>
      <c r="P980" s="81"/>
      <c r="Q980" s="81"/>
      <c r="R980" s="81"/>
      <c r="S980" s="81"/>
      <c r="T980" s="81"/>
      <c r="U980" s="81"/>
      <c r="V980" s="81"/>
      <c r="W980" s="81"/>
      <c r="X980" s="81"/>
      <c r="Y980" s="81"/>
      <c r="Z980" s="81"/>
      <c r="AA980" s="81"/>
      <c r="AB980" s="81"/>
      <c r="AC980" s="81"/>
      <c r="AD980" s="81"/>
      <c r="AE980" s="81"/>
      <c r="AF980" s="81"/>
    </row>
    <row r="981" spans="1:32">
      <c r="A981" s="82" t="s">
        <v>1715</v>
      </c>
      <c r="B981" s="84">
        <f>'MTSP 50% Income Limits '!B56</f>
        <v>26050</v>
      </c>
      <c r="C981" s="84">
        <f>'MTSP 50% Income Limits '!C56</f>
        <v>29800</v>
      </c>
      <c r="D981" s="84">
        <f>'MTSP 50% Income Limits '!D56</f>
        <v>33500</v>
      </c>
      <c r="E981" s="84">
        <f>'MTSP 50% Income Limits '!E56</f>
        <v>37200</v>
      </c>
      <c r="F981" s="84">
        <f>'MTSP 50% Income Limits '!F56</f>
        <v>40200</v>
      </c>
      <c r="G981" s="84">
        <f>'MTSP 50% Income Limits '!G56</f>
        <v>43200</v>
      </c>
      <c r="H981" s="84">
        <f>'MTSP 50% Income Limits '!H56</f>
        <v>46150</v>
      </c>
      <c r="I981" s="84">
        <f>'MTSP 50% Income Limits '!I56</f>
        <v>49150</v>
      </c>
      <c r="J981" s="83">
        <f>TRUNC(B981/12*0.3)</f>
        <v>651</v>
      </c>
      <c r="K981" s="83">
        <f>TRUNC((B981+C981)/2/12*0.3)</f>
        <v>698</v>
      </c>
      <c r="L981" s="83">
        <f>TRUNC((D981)/12*0.3)</f>
        <v>837</v>
      </c>
      <c r="M981" s="83">
        <f>TRUNC(((E981+F981)/2)/12*0.3)</f>
        <v>967</v>
      </c>
      <c r="N981" s="83">
        <f>TRUNC(G981/12*0.3)</f>
        <v>1080</v>
      </c>
      <c r="O981" s="83">
        <f>TRUNC(((H981+I981)/2)/12*0.3)</f>
        <v>1191</v>
      </c>
      <c r="P981" s="81"/>
      <c r="Q981" s="81"/>
      <c r="R981" s="81"/>
      <c r="S981" s="81"/>
      <c r="T981" s="81"/>
      <c r="U981" s="81"/>
      <c r="V981" s="81"/>
      <c r="W981" s="81"/>
      <c r="X981" s="81"/>
      <c r="Y981" s="81"/>
      <c r="Z981" s="81"/>
      <c r="AA981" s="81"/>
      <c r="AB981" s="81"/>
      <c r="AC981" s="81"/>
      <c r="AD981" s="81"/>
      <c r="AE981" s="81"/>
      <c r="AF981" s="81"/>
    </row>
    <row r="982" spans="1:32">
      <c r="A982" s="76" t="s">
        <v>1716</v>
      </c>
      <c r="B982" s="79">
        <f>B981*2*0.55</f>
        <v>28655.000000000004</v>
      </c>
      <c r="C982" s="79">
        <f t="shared" ref="C982:I982" si="1627">C981*2*0.55</f>
        <v>32780</v>
      </c>
      <c r="D982" s="79">
        <f t="shared" si="1627"/>
        <v>36850</v>
      </c>
      <c r="E982" s="79">
        <f t="shared" si="1627"/>
        <v>40920</v>
      </c>
      <c r="F982" s="79">
        <f t="shared" si="1627"/>
        <v>44220</v>
      </c>
      <c r="G982" s="79">
        <f t="shared" si="1627"/>
        <v>47520.000000000007</v>
      </c>
      <c r="H982" s="79">
        <f t="shared" si="1627"/>
        <v>50765.000000000007</v>
      </c>
      <c r="I982" s="79">
        <f t="shared" si="1627"/>
        <v>54065.000000000007</v>
      </c>
      <c r="J982" s="80">
        <f t="shared" ref="J982:J988" si="1628">TRUNC(B982/12*0.3)</f>
        <v>716</v>
      </c>
      <c r="K982" s="80">
        <f t="shared" ref="K982:K988" si="1629">TRUNC((B982+C982)/2/12*0.3)</f>
        <v>767</v>
      </c>
      <c r="L982" s="80">
        <f t="shared" ref="L982:L988" si="1630">TRUNC((D982)/12*0.3)</f>
        <v>921</v>
      </c>
      <c r="M982" s="80">
        <f t="shared" ref="M982:M988" si="1631">TRUNC(((E982+F982)/2)/12*0.3)</f>
        <v>1064</v>
      </c>
      <c r="N982" s="80">
        <f t="shared" ref="N982:N988" si="1632">TRUNC(G982/12*0.3)</f>
        <v>1188</v>
      </c>
      <c r="O982" s="80">
        <f t="shared" ref="O982:O988" si="1633">TRUNC(((H982+I982)/2)/12*0.3)</f>
        <v>1310</v>
      </c>
      <c r="P982" s="81"/>
      <c r="Q982" s="81"/>
      <c r="R982" s="81"/>
      <c r="S982" s="81"/>
      <c r="T982" s="81"/>
      <c r="U982" s="81"/>
      <c r="V982" s="81"/>
      <c r="W982" s="81"/>
      <c r="X982" s="81"/>
      <c r="Y982" s="81"/>
      <c r="Z982" s="81"/>
      <c r="AA982" s="81"/>
      <c r="AB982" s="81"/>
      <c r="AC982" s="81"/>
      <c r="AD982" s="81"/>
      <c r="AE982" s="81"/>
      <c r="AF982" s="81"/>
    </row>
    <row r="983" spans="1:32">
      <c r="A983" s="76" t="s">
        <v>1717</v>
      </c>
      <c r="B983" s="79">
        <f>B981*2*0.6</f>
        <v>31260</v>
      </c>
      <c r="C983" s="79">
        <f t="shared" ref="C983:I983" si="1634">C981*2*0.6</f>
        <v>35760</v>
      </c>
      <c r="D983" s="79">
        <f t="shared" si="1634"/>
        <v>40200</v>
      </c>
      <c r="E983" s="79">
        <f t="shared" si="1634"/>
        <v>44640</v>
      </c>
      <c r="F983" s="79">
        <f t="shared" si="1634"/>
        <v>48240</v>
      </c>
      <c r="G983" s="79">
        <f t="shared" si="1634"/>
        <v>51840</v>
      </c>
      <c r="H983" s="79">
        <f t="shared" si="1634"/>
        <v>55380</v>
      </c>
      <c r="I983" s="79">
        <f t="shared" si="1634"/>
        <v>58980</v>
      </c>
      <c r="J983" s="80">
        <f t="shared" si="1628"/>
        <v>781</v>
      </c>
      <c r="K983" s="80">
        <f t="shared" si="1629"/>
        <v>837</v>
      </c>
      <c r="L983" s="80">
        <f t="shared" si="1630"/>
        <v>1005</v>
      </c>
      <c r="M983" s="80">
        <f t="shared" si="1631"/>
        <v>1161</v>
      </c>
      <c r="N983" s="80">
        <f t="shared" si="1632"/>
        <v>1296</v>
      </c>
      <c r="O983" s="80">
        <f t="shared" si="1633"/>
        <v>1429</v>
      </c>
      <c r="P983" s="81"/>
      <c r="Q983" s="81"/>
      <c r="R983" s="81"/>
      <c r="S983" s="81"/>
      <c r="T983" s="81"/>
      <c r="U983" s="81"/>
      <c r="V983" s="81"/>
      <c r="W983" s="81"/>
      <c r="X983" s="81"/>
      <c r="Y983" s="81"/>
      <c r="Z983" s="81"/>
      <c r="AA983" s="81"/>
      <c r="AB983" s="81"/>
      <c r="AC983" s="81"/>
      <c r="AD983" s="81"/>
      <c r="AE983" s="81"/>
      <c r="AF983" s="81"/>
    </row>
    <row r="984" spans="1:32">
      <c r="A984" s="76" t="s">
        <v>1718</v>
      </c>
      <c r="B984" s="79">
        <f>B981*2*0.65</f>
        <v>33865</v>
      </c>
      <c r="C984" s="79">
        <f t="shared" ref="C984:I984" si="1635">C981*2*0.65</f>
        <v>38740</v>
      </c>
      <c r="D984" s="79">
        <f t="shared" si="1635"/>
        <v>43550</v>
      </c>
      <c r="E984" s="79">
        <f t="shared" si="1635"/>
        <v>48360</v>
      </c>
      <c r="F984" s="79">
        <f t="shared" si="1635"/>
        <v>52260</v>
      </c>
      <c r="G984" s="79">
        <f t="shared" si="1635"/>
        <v>56160</v>
      </c>
      <c r="H984" s="79">
        <f t="shared" si="1635"/>
        <v>59995</v>
      </c>
      <c r="I984" s="79">
        <f t="shared" si="1635"/>
        <v>63895</v>
      </c>
      <c r="J984" s="80">
        <f t="shared" si="1628"/>
        <v>846</v>
      </c>
      <c r="K984" s="80">
        <f t="shared" si="1629"/>
        <v>907</v>
      </c>
      <c r="L984" s="80">
        <f t="shared" si="1630"/>
        <v>1088</v>
      </c>
      <c r="M984" s="80">
        <f t="shared" si="1631"/>
        <v>1257</v>
      </c>
      <c r="N984" s="80">
        <f t="shared" si="1632"/>
        <v>1404</v>
      </c>
      <c r="O984" s="80">
        <f t="shared" si="1633"/>
        <v>1548</v>
      </c>
      <c r="P984" s="81"/>
      <c r="Q984" s="81"/>
      <c r="R984" s="81"/>
      <c r="S984" s="81"/>
      <c r="T984" s="81"/>
      <c r="U984" s="81"/>
      <c r="V984" s="81"/>
      <c r="W984" s="81"/>
      <c r="X984" s="81"/>
      <c r="Y984" s="81"/>
      <c r="Z984" s="81"/>
      <c r="AA984" s="81"/>
      <c r="AB984" s="81"/>
      <c r="AC984" s="81"/>
      <c r="AD984" s="81"/>
      <c r="AE984" s="81"/>
      <c r="AF984" s="81"/>
    </row>
    <row r="985" spans="1:32">
      <c r="A985" s="76" t="s">
        <v>1719</v>
      </c>
      <c r="B985" s="79">
        <f>B981*2*0.7</f>
        <v>36470</v>
      </c>
      <c r="C985" s="79">
        <f t="shared" ref="C985:I985" si="1636">C981*2*0.7</f>
        <v>41720</v>
      </c>
      <c r="D985" s="79">
        <f t="shared" si="1636"/>
        <v>46900</v>
      </c>
      <c r="E985" s="79">
        <f t="shared" si="1636"/>
        <v>52080</v>
      </c>
      <c r="F985" s="79">
        <f t="shared" si="1636"/>
        <v>56280</v>
      </c>
      <c r="G985" s="79">
        <f t="shared" si="1636"/>
        <v>60479.999999999993</v>
      </c>
      <c r="H985" s="79">
        <f t="shared" si="1636"/>
        <v>64609.999999999993</v>
      </c>
      <c r="I985" s="79">
        <f t="shared" si="1636"/>
        <v>68810</v>
      </c>
      <c r="J985" s="80">
        <f t="shared" si="1628"/>
        <v>911</v>
      </c>
      <c r="K985" s="80">
        <f t="shared" si="1629"/>
        <v>977</v>
      </c>
      <c r="L985" s="80">
        <f t="shared" si="1630"/>
        <v>1172</v>
      </c>
      <c r="M985" s="80">
        <f t="shared" si="1631"/>
        <v>1354</v>
      </c>
      <c r="N985" s="80">
        <f t="shared" si="1632"/>
        <v>1512</v>
      </c>
      <c r="O985" s="80">
        <f t="shared" si="1633"/>
        <v>1667</v>
      </c>
      <c r="P985" s="81"/>
      <c r="Q985" s="81"/>
      <c r="R985" s="81"/>
      <c r="S985" s="81"/>
      <c r="T985" s="81"/>
      <c r="U985" s="81"/>
      <c r="V985" s="81"/>
      <c r="W985" s="81"/>
      <c r="X985" s="81"/>
      <c r="Y985" s="81"/>
      <c r="Z985" s="81"/>
      <c r="AA985" s="81"/>
      <c r="AB985" s="81"/>
      <c r="AC985" s="81"/>
      <c r="AD985" s="81"/>
      <c r="AE985" s="81"/>
      <c r="AF985" s="81"/>
    </row>
    <row r="986" spans="1:32">
      <c r="A986" s="76" t="s">
        <v>1720</v>
      </c>
      <c r="B986" s="79">
        <f>B981*2*0.75</f>
        <v>39075</v>
      </c>
      <c r="C986" s="79">
        <f t="shared" ref="C986:I986" si="1637">C981*2*0.75</f>
        <v>44700</v>
      </c>
      <c r="D986" s="79">
        <f t="shared" si="1637"/>
        <v>50250</v>
      </c>
      <c r="E986" s="79">
        <f t="shared" si="1637"/>
        <v>55800</v>
      </c>
      <c r="F986" s="79">
        <f t="shared" si="1637"/>
        <v>60300</v>
      </c>
      <c r="G986" s="79">
        <f t="shared" si="1637"/>
        <v>64800</v>
      </c>
      <c r="H986" s="79">
        <f t="shared" si="1637"/>
        <v>69225</v>
      </c>
      <c r="I986" s="79">
        <f t="shared" si="1637"/>
        <v>73725</v>
      </c>
      <c r="J986" s="80">
        <f t="shared" si="1628"/>
        <v>976</v>
      </c>
      <c r="K986" s="80">
        <f t="shared" si="1629"/>
        <v>1047</v>
      </c>
      <c r="L986" s="80">
        <f t="shared" si="1630"/>
        <v>1256</v>
      </c>
      <c r="M986" s="80">
        <f t="shared" si="1631"/>
        <v>1451</v>
      </c>
      <c r="N986" s="80">
        <f t="shared" si="1632"/>
        <v>1620</v>
      </c>
      <c r="O986" s="80">
        <f t="shared" si="1633"/>
        <v>1786</v>
      </c>
      <c r="P986" s="81"/>
      <c r="Q986" s="81"/>
      <c r="R986" s="81"/>
      <c r="S986" s="81"/>
      <c r="T986" s="81"/>
      <c r="U986" s="81"/>
      <c r="V986" s="81"/>
      <c r="W986" s="81"/>
      <c r="X986" s="81"/>
      <c r="Y986" s="81"/>
      <c r="Z986" s="81"/>
      <c r="AA986" s="81"/>
      <c r="AB986" s="81"/>
      <c r="AC986" s="81"/>
      <c r="AD986" s="81"/>
      <c r="AE986" s="81"/>
      <c r="AF986" s="81"/>
    </row>
    <row r="987" spans="1:32">
      <c r="A987" s="76" t="s">
        <v>1721</v>
      </c>
      <c r="B987" s="79">
        <f>B981*2*0.8</f>
        <v>41680</v>
      </c>
      <c r="C987" s="79">
        <f t="shared" ref="C987:I987" si="1638">C981*2*0.8</f>
        <v>47680</v>
      </c>
      <c r="D987" s="79">
        <f t="shared" si="1638"/>
        <v>53600</v>
      </c>
      <c r="E987" s="79">
        <f t="shared" si="1638"/>
        <v>59520</v>
      </c>
      <c r="F987" s="79">
        <f t="shared" si="1638"/>
        <v>64320</v>
      </c>
      <c r="G987" s="79">
        <f t="shared" si="1638"/>
        <v>69120</v>
      </c>
      <c r="H987" s="79">
        <f t="shared" si="1638"/>
        <v>73840</v>
      </c>
      <c r="I987" s="79">
        <f t="shared" si="1638"/>
        <v>78640</v>
      </c>
      <c r="J987" s="80">
        <f t="shared" si="1628"/>
        <v>1042</v>
      </c>
      <c r="K987" s="80">
        <f t="shared" si="1629"/>
        <v>1117</v>
      </c>
      <c r="L987" s="80">
        <f t="shared" si="1630"/>
        <v>1340</v>
      </c>
      <c r="M987" s="80">
        <f t="shared" si="1631"/>
        <v>1548</v>
      </c>
      <c r="N987" s="80">
        <f t="shared" si="1632"/>
        <v>1728</v>
      </c>
      <c r="O987" s="80">
        <f t="shared" si="1633"/>
        <v>1906</v>
      </c>
      <c r="P987" s="81"/>
      <c r="Q987" s="81"/>
      <c r="R987" s="81"/>
      <c r="S987" s="81"/>
      <c r="T987" s="81"/>
      <c r="U987" s="81"/>
      <c r="V987" s="81"/>
      <c r="W987" s="81"/>
      <c r="X987" s="81"/>
      <c r="Y987" s="81"/>
      <c r="Z987" s="81"/>
      <c r="AA987" s="81"/>
      <c r="AB987" s="81"/>
      <c r="AC987" s="81"/>
      <c r="AD987" s="81"/>
      <c r="AE987" s="81"/>
      <c r="AF987" s="81"/>
    </row>
    <row r="988" spans="1:32">
      <c r="A988" s="76" t="s">
        <v>1722</v>
      </c>
      <c r="B988" s="79">
        <f>B981*2*0.9</f>
        <v>46890</v>
      </c>
      <c r="C988" s="79">
        <f t="shared" ref="C988:I988" si="1639">C981*2*0.9</f>
        <v>53640</v>
      </c>
      <c r="D988" s="79">
        <f t="shared" si="1639"/>
        <v>60300</v>
      </c>
      <c r="E988" s="79">
        <f t="shared" si="1639"/>
        <v>66960</v>
      </c>
      <c r="F988" s="79">
        <f t="shared" si="1639"/>
        <v>72360</v>
      </c>
      <c r="G988" s="79">
        <f t="shared" si="1639"/>
        <v>77760</v>
      </c>
      <c r="H988" s="79">
        <f t="shared" si="1639"/>
        <v>83070</v>
      </c>
      <c r="I988" s="79">
        <f t="shared" si="1639"/>
        <v>88470</v>
      </c>
      <c r="J988" s="80">
        <f t="shared" si="1628"/>
        <v>1172</v>
      </c>
      <c r="K988" s="80">
        <f t="shared" si="1629"/>
        <v>1256</v>
      </c>
      <c r="L988" s="80">
        <f t="shared" si="1630"/>
        <v>1507</v>
      </c>
      <c r="M988" s="80">
        <f t="shared" si="1631"/>
        <v>1741</v>
      </c>
      <c r="N988" s="80">
        <f t="shared" si="1632"/>
        <v>1944</v>
      </c>
      <c r="O988" s="80">
        <f t="shared" si="1633"/>
        <v>2144</v>
      </c>
      <c r="P988" s="81"/>
      <c r="Q988" s="81"/>
      <c r="R988" s="81"/>
      <c r="S988" s="81"/>
      <c r="T988" s="81"/>
      <c r="U988" s="81"/>
      <c r="V988" s="81"/>
      <c r="W988" s="81"/>
      <c r="X988" s="81"/>
      <c r="Y988" s="81"/>
      <c r="Z988" s="81"/>
      <c r="AA988" s="81"/>
      <c r="AB988" s="81"/>
      <c r="AC988" s="81"/>
      <c r="AD988" s="81"/>
      <c r="AE988" s="81"/>
      <c r="AF988" s="81"/>
    </row>
    <row r="989" spans="1:32">
      <c r="A989" s="76" t="s">
        <v>1723</v>
      </c>
      <c r="B989" s="79">
        <f>B981*2</f>
        <v>52100</v>
      </c>
      <c r="C989" s="79">
        <f t="shared" ref="C989:I989" si="1640">C981*2</f>
        <v>59600</v>
      </c>
      <c r="D989" s="79">
        <f t="shared" si="1640"/>
        <v>67000</v>
      </c>
      <c r="E989" s="79">
        <f t="shared" si="1640"/>
        <v>74400</v>
      </c>
      <c r="F989" s="79">
        <f t="shared" si="1640"/>
        <v>80400</v>
      </c>
      <c r="G989" s="79">
        <f t="shared" si="1640"/>
        <v>86400</v>
      </c>
      <c r="H989" s="79">
        <f t="shared" si="1640"/>
        <v>92300</v>
      </c>
      <c r="I989" s="79">
        <f t="shared" si="1640"/>
        <v>98300</v>
      </c>
      <c r="J989" s="80">
        <f>J981*2</f>
        <v>1302</v>
      </c>
      <c r="K989" s="80">
        <f t="shared" ref="K989:O989" si="1641">K981*2</f>
        <v>1396</v>
      </c>
      <c r="L989" s="80">
        <f t="shared" si="1641"/>
        <v>1674</v>
      </c>
      <c r="M989" s="80">
        <f t="shared" si="1641"/>
        <v>1934</v>
      </c>
      <c r="N989" s="80">
        <f t="shared" si="1641"/>
        <v>2160</v>
      </c>
      <c r="O989" s="80">
        <f t="shared" si="1641"/>
        <v>2382</v>
      </c>
      <c r="P989" s="81"/>
      <c r="Q989" s="81"/>
      <c r="R989" s="81"/>
      <c r="S989" s="81"/>
      <c r="T989" s="81"/>
      <c r="U989" s="81"/>
      <c r="V989" s="81"/>
      <c r="W989" s="81"/>
      <c r="X989" s="81"/>
      <c r="Y989" s="81"/>
      <c r="Z989" s="81"/>
      <c r="AA989" s="81"/>
      <c r="AB989" s="81"/>
      <c r="AC989" s="81"/>
      <c r="AD989" s="81"/>
      <c r="AE989" s="81"/>
      <c r="AF989" s="81"/>
    </row>
    <row r="990" spans="1:32">
      <c r="A990" s="76" t="s">
        <v>1724</v>
      </c>
      <c r="B990" s="79">
        <f>B981*2*1.1</f>
        <v>57310.000000000007</v>
      </c>
      <c r="C990" s="79">
        <f t="shared" ref="C990:I990" si="1642">C981*2*1.1</f>
        <v>65560</v>
      </c>
      <c r="D990" s="79">
        <f t="shared" si="1642"/>
        <v>73700</v>
      </c>
      <c r="E990" s="79">
        <f t="shared" si="1642"/>
        <v>81840</v>
      </c>
      <c r="F990" s="79">
        <f t="shared" si="1642"/>
        <v>88440</v>
      </c>
      <c r="G990" s="79">
        <f t="shared" si="1642"/>
        <v>95040.000000000015</v>
      </c>
      <c r="H990" s="79">
        <f t="shared" si="1642"/>
        <v>101530.00000000001</v>
      </c>
      <c r="I990" s="79">
        <f t="shared" si="1642"/>
        <v>108130.00000000001</v>
      </c>
      <c r="J990" s="80">
        <f t="shared" ref="J990:J998" si="1643">TRUNC(B990/12*0.3)</f>
        <v>1432</v>
      </c>
      <c r="K990" s="80">
        <f t="shared" ref="K990:K998" si="1644">TRUNC((B990+C990)/2/12*0.3)</f>
        <v>1535</v>
      </c>
      <c r="L990" s="80">
        <f t="shared" ref="L990:L998" si="1645">TRUNC((D990)/12*0.3)</f>
        <v>1842</v>
      </c>
      <c r="M990" s="80">
        <f t="shared" ref="M990:M998" si="1646">TRUNC(((E990+F990)/2)/12*0.3)</f>
        <v>2128</v>
      </c>
      <c r="N990" s="80">
        <f t="shared" ref="N990:N998" si="1647">TRUNC(G990/12*0.3)</f>
        <v>2376</v>
      </c>
      <c r="O990" s="80">
        <f t="shared" ref="O990:O998" si="1648">TRUNC(((H990+I990)/2)/12*0.3)</f>
        <v>2620</v>
      </c>
      <c r="P990" s="81"/>
      <c r="Q990" s="81"/>
      <c r="R990" s="81"/>
      <c r="S990" s="81"/>
      <c r="T990" s="81"/>
      <c r="U990" s="81"/>
      <c r="V990" s="81"/>
      <c r="W990" s="81"/>
      <c r="X990" s="81"/>
      <c r="Y990" s="81"/>
      <c r="Z990" s="81"/>
      <c r="AA990" s="81"/>
      <c r="AB990" s="81"/>
      <c r="AC990" s="81"/>
      <c r="AD990" s="81"/>
      <c r="AE990" s="81"/>
      <c r="AF990" s="81"/>
    </row>
    <row r="991" spans="1:32">
      <c r="A991" s="76" t="s">
        <v>1725</v>
      </c>
      <c r="B991" s="79">
        <f>B981*2*1.2</f>
        <v>62520</v>
      </c>
      <c r="C991" s="79">
        <f t="shared" ref="C991:I991" si="1649">C981*2*1.2</f>
        <v>71520</v>
      </c>
      <c r="D991" s="79">
        <f t="shared" si="1649"/>
        <v>80400</v>
      </c>
      <c r="E991" s="79">
        <f t="shared" si="1649"/>
        <v>89280</v>
      </c>
      <c r="F991" s="79">
        <f t="shared" si="1649"/>
        <v>96480</v>
      </c>
      <c r="G991" s="79">
        <f t="shared" si="1649"/>
        <v>103680</v>
      </c>
      <c r="H991" s="79">
        <f t="shared" si="1649"/>
        <v>110760</v>
      </c>
      <c r="I991" s="79">
        <f t="shared" si="1649"/>
        <v>117960</v>
      </c>
      <c r="J991" s="80">
        <f t="shared" si="1643"/>
        <v>1563</v>
      </c>
      <c r="K991" s="80">
        <f t="shared" si="1644"/>
        <v>1675</v>
      </c>
      <c r="L991" s="80">
        <f t="shared" si="1645"/>
        <v>2010</v>
      </c>
      <c r="M991" s="80">
        <f t="shared" si="1646"/>
        <v>2322</v>
      </c>
      <c r="N991" s="80">
        <f t="shared" si="1647"/>
        <v>2592</v>
      </c>
      <c r="O991" s="80">
        <f t="shared" si="1648"/>
        <v>2859</v>
      </c>
      <c r="P991" s="81"/>
      <c r="Q991" s="81"/>
      <c r="R991" s="81"/>
      <c r="S991" s="81"/>
      <c r="T991" s="81"/>
      <c r="U991" s="81"/>
      <c r="V991" s="81"/>
      <c r="W991" s="81"/>
      <c r="X991" s="81"/>
      <c r="Y991" s="81"/>
      <c r="Z991" s="81"/>
      <c r="AA991" s="81"/>
      <c r="AB991" s="81"/>
      <c r="AC991" s="81"/>
      <c r="AD991" s="81"/>
      <c r="AE991" s="81"/>
      <c r="AF991" s="81"/>
    </row>
    <row r="992" spans="1:32">
      <c r="A992" s="76" t="s">
        <v>1726</v>
      </c>
      <c r="B992" s="79">
        <f>B999*2*0.15</f>
        <v>11775</v>
      </c>
      <c r="C992" s="79">
        <f>C999*2*0.15</f>
        <v>13455</v>
      </c>
      <c r="D992" s="79">
        <f>D999*2*0.15</f>
        <v>15135</v>
      </c>
      <c r="E992" s="79">
        <f>E999*2*0.15</f>
        <v>16815</v>
      </c>
      <c r="F992" s="79">
        <f>F999*2*0.15</f>
        <v>18165</v>
      </c>
      <c r="G992" s="79">
        <f t="shared" ref="G992:I992" si="1650">G999*2*0.15</f>
        <v>19515</v>
      </c>
      <c r="H992" s="79">
        <f t="shared" si="1650"/>
        <v>20865</v>
      </c>
      <c r="I992" s="79">
        <f t="shared" si="1650"/>
        <v>22200</v>
      </c>
      <c r="J992" s="80">
        <f t="shared" si="1643"/>
        <v>294</v>
      </c>
      <c r="K992" s="80">
        <f t="shared" si="1644"/>
        <v>315</v>
      </c>
      <c r="L992" s="80">
        <f t="shared" si="1645"/>
        <v>378</v>
      </c>
      <c r="M992" s="80">
        <f t="shared" si="1646"/>
        <v>437</v>
      </c>
      <c r="N992" s="80">
        <f t="shared" si="1647"/>
        <v>487</v>
      </c>
      <c r="O992" s="80">
        <f t="shared" si="1648"/>
        <v>538</v>
      </c>
      <c r="P992" s="81"/>
      <c r="Q992" s="81"/>
      <c r="R992" s="81"/>
      <c r="S992" s="81"/>
      <c r="T992" s="81"/>
      <c r="U992" s="81"/>
      <c r="V992" s="81"/>
      <c r="W992" s="81"/>
      <c r="X992" s="81"/>
      <c r="Y992" s="81"/>
      <c r="Z992" s="81"/>
      <c r="AA992" s="81"/>
      <c r="AB992" s="81"/>
      <c r="AC992" s="81"/>
      <c r="AD992" s="81"/>
      <c r="AE992" s="81"/>
      <c r="AF992" s="81"/>
    </row>
    <row r="993" spans="1:32">
      <c r="A993" s="76" t="s">
        <v>1727</v>
      </c>
      <c r="B993" s="79">
        <f>B999*2*0.2</f>
        <v>15700</v>
      </c>
      <c r="C993" s="79">
        <f t="shared" ref="C993:I993" si="1651">C999*2*0.2</f>
        <v>17940</v>
      </c>
      <c r="D993" s="79">
        <f t="shared" si="1651"/>
        <v>20180</v>
      </c>
      <c r="E993" s="79">
        <f t="shared" si="1651"/>
        <v>22420</v>
      </c>
      <c r="F993" s="79">
        <f t="shared" si="1651"/>
        <v>24220</v>
      </c>
      <c r="G993" s="79">
        <f t="shared" si="1651"/>
        <v>26020</v>
      </c>
      <c r="H993" s="79">
        <f t="shared" si="1651"/>
        <v>27820</v>
      </c>
      <c r="I993" s="79">
        <f t="shared" si="1651"/>
        <v>29600</v>
      </c>
      <c r="J993" s="80">
        <f t="shared" si="1643"/>
        <v>392</v>
      </c>
      <c r="K993" s="80">
        <f t="shared" si="1644"/>
        <v>420</v>
      </c>
      <c r="L993" s="80">
        <f t="shared" si="1645"/>
        <v>504</v>
      </c>
      <c r="M993" s="80">
        <f t="shared" si="1646"/>
        <v>583</v>
      </c>
      <c r="N993" s="80">
        <f t="shared" si="1647"/>
        <v>650</v>
      </c>
      <c r="O993" s="80">
        <f t="shared" si="1648"/>
        <v>717</v>
      </c>
      <c r="P993" s="81"/>
      <c r="Q993" s="81"/>
      <c r="R993" s="81"/>
      <c r="S993" s="81"/>
      <c r="T993" s="81"/>
      <c r="U993" s="81"/>
      <c r="V993" s="81"/>
      <c r="W993" s="81"/>
      <c r="X993" s="81"/>
      <c r="Y993" s="81"/>
      <c r="Z993" s="81"/>
      <c r="AA993" s="81"/>
      <c r="AB993" s="81"/>
      <c r="AC993" s="81"/>
      <c r="AD993" s="81"/>
      <c r="AE993" s="81"/>
      <c r="AF993" s="81"/>
    </row>
    <row r="994" spans="1:32">
      <c r="A994" s="76" t="s">
        <v>1728</v>
      </c>
      <c r="B994" s="79">
        <f>B999*2*0.25</f>
        <v>19625</v>
      </c>
      <c r="C994" s="79">
        <f t="shared" ref="C994:I994" si="1652">C999*2*0.25</f>
        <v>22425</v>
      </c>
      <c r="D994" s="79">
        <f t="shared" si="1652"/>
        <v>25225</v>
      </c>
      <c r="E994" s="79">
        <f t="shared" si="1652"/>
        <v>28025</v>
      </c>
      <c r="F994" s="79">
        <f t="shared" si="1652"/>
        <v>30275</v>
      </c>
      <c r="G994" s="79">
        <f t="shared" si="1652"/>
        <v>32525</v>
      </c>
      <c r="H994" s="79">
        <f t="shared" si="1652"/>
        <v>34775</v>
      </c>
      <c r="I994" s="79">
        <f t="shared" si="1652"/>
        <v>37000</v>
      </c>
      <c r="J994" s="80">
        <f t="shared" si="1643"/>
        <v>490</v>
      </c>
      <c r="K994" s="80">
        <f t="shared" si="1644"/>
        <v>525</v>
      </c>
      <c r="L994" s="80">
        <f t="shared" si="1645"/>
        <v>630</v>
      </c>
      <c r="M994" s="80">
        <f t="shared" si="1646"/>
        <v>728</v>
      </c>
      <c r="N994" s="80">
        <f t="shared" si="1647"/>
        <v>813</v>
      </c>
      <c r="O994" s="80">
        <f t="shared" si="1648"/>
        <v>897</v>
      </c>
      <c r="P994" s="81"/>
      <c r="Q994" s="81"/>
      <c r="R994" s="81"/>
      <c r="S994" s="81"/>
      <c r="T994" s="81"/>
      <c r="U994" s="81"/>
      <c r="V994" s="81"/>
      <c r="W994" s="81"/>
      <c r="X994" s="81"/>
      <c r="Y994" s="81"/>
      <c r="Z994" s="81"/>
      <c r="AA994" s="81"/>
      <c r="AB994" s="81"/>
      <c r="AC994" s="81"/>
      <c r="AD994" s="81"/>
      <c r="AE994" s="81"/>
      <c r="AF994" s="81"/>
    </row>
    <row r="995" spans="1:32">
      <c r="A995" s="76" t="s">
        <v>1729</v>
      </c>
      <c r="B995" s="79">
        <f>B999*2*0.3</f>
        <v>23550</v>
      </c>
      <c r="C995" s="79">
        <f t="shared" ref="C995:I995" si="1653">C999*2*0.3</f>
        <v>26910</v>
      </c>
      <c r="D995" s="79">
        <f t="shared" si="1653"/>
        <v>30270</v>
      </c>
      <c r="E995" s="79">
        <f t="shared" si="1653"/>
        <v>33630</v>
      </c>
      <c r="F995" s="79">
        <f t="shared" si="1653"/>
        <v>36330</v>
      </c>
      <c r="G995" s="79">
        <f t="shared" si="1653"/>
        <v>39030</v>
      </c>
      <c r="H995" s="79">
        <f t="shared" si="1653"/>
        <v>41730</v>
      </c>
      <c r="I995" s="79">
        <f t="shared" si="1653"/>
        <v>44400</v>
      </c>
      <c r="J995" s="80">
        <f t="shared" si="1643"/>
        <v>588</v>
      </c>
      <c r="K995" s="80">
        <f t="shared" si="1644"/>
        <v>630</v>
      </c>
      <c r="L995" s="80">
        <f t="shared" si="1645"/>
        <v>756</v>
      </c>
      <c r="M995" s="80">
        <f t="shared" si="1646"/>
        <v>874</v>
      </c>
      <c r="N995" s="80">
        <f t="shared" si="1647"/>
        <v>975</v>
      </c>
      <c r="O995" s="80">
        <f t="shared" si="1648"/>
        <v>1076</v>
      </c>
      <c r="P995" s="81"/>
      <c r="Q995" s="81"/>
      <c r="R995" s="81"/>
      <c r="S995" s="81"/>
      <c r="T995" s="81"/>
      <c r="U995" s="81"/>
      <c r="V995" s="81"/>
      <c r="W995" s="81"/>
      <c r="X995" s="81"/>
      <c r="Y995" s="81"/>
      <c r="Z995" s="81"/>
      <c r="AA995" s="81"/>
      <c r="AB995" s="81"/>
      <c r="AC995" s="81"/>
      <c r="AD995" s="81"/>
      <c r="AE995" s="81"/>
      <c r="AF995" s="81"/>
    </row>
    <row r="996" spans="1:32">
      <c r="A996" s="76" t="s">
        <v>1730</v>
      </c>
      <c r="B996" s="79">
        <f>B999*2*0.35</f>
        <v>27475</v>
      </c>
      <c r="C996" s="79">
        <f t="shared" ref="C996:I996" si="1654">C999*2*0.35</f>
        <v>31394.999999999996</v>
      </c>
      <c r="D996" s="79">
        <f t="shared" si="1654"/>
        <v>35315</v>
      </c>
      <c r="E996" s="79">
        <f t="shared" si="1654"/>
        <v>39235</v>
      </c>
      <c r="F996" s="79">
        <f t="shared" si="1654"/>
        <v>42385</v>
      </c>
      <c r="G996" s="79">
        <f t="shared" si="1654"/>
        <v>45535</v>
      </c>
      <c r="H996" s="79">
        <f t="shared" si="1654"/>
        <v>48685</v>
      </c>
      <c r="I996" s="79">
        <f t="shared" si="1654"/>
        <v>51800</v>
      </c>
      <c r="J996" s="80">
        <f t="shared" si="1643"/>
        <v>686</v>
      </c>
      <c r="K996" s="80">
        <f t="shared" si="1644"/>
        <v>735</v>
      </c>
      <c r="L996" s="80">
        <f t="shared" si="1645"/>
        <v>882</v>
      </c>
      <c r="M996" s="80">
        <f t="shared" si="1646"/>
        <v>1020</v>
      </c>
      <c r="N996" s="80">
        <f t="shared" si="1647"/>
        <v>1138</v>
      </c>
      <c r="O996" s="80">
        <f t="shared" si="1648"/>
        <v>1256</v>
      </c>
      <c r="P996" s="81"/>
      <c r="Q996" s="81"/>
      <c r="R996" s="81"/>
      <c r="S996" s="81"/>
      <c r="T996" s="81"/>
      <c r="U996" s="81"/>
      <c r="V996" s="81"/>
      <c r="W996" s="81"/>
      <c r="X996" s="81"/>
      <c r="Y996" s="81"/>
      <c r="Z996" s="81"/>
      <c r="AA996" s="81"/>
      <c r="AB996" s="81"/>
      <c r="AC996" s="81"/>
      <c r="AD996" s="81"/>
      <c r="AE996" s="81"/>
      <c r="AF996" s="81"/>
    </row>
    <row r="997" spans="1:32">
      <c r="A997" s="76" t="s">
        <v>1731</v>
      </c>
      <c r="B997" s="79">
        <f>B999*2*0.4</f>
        <v>31400</v>
      </c>
      <c r="C997" s="79">
        <f t="shared" ref="C997:I997" si="1655">C999*2*0.4</f>
        <v>35880</v>
      </c>
      <c r="D997" s="79">
        <f t="shared" si="1655"/>
        <v>40360</v>
      </c>
      <c r="E997" s="79">
        <f t="shared" si="1655"/>
        <v>44840</v>
      </c>
      <c r="F997" s="79">
        <f t="shared" si="1655"/>
        <v>48440</v>
      </c>
      <c r="G997" s="79">
        <f t="shared" si="1655"/>
        <v>52040</v>
      </c>
      <c r="H997" s="79">
        <f t="shared" si="1655"/>
        <v>55640</v>
      </c>
      <c r="I997" s="79">
        <f t="shared" si="1655"/>
        <v>59200</v>
      </c>
      <c r="J997" s="80">
        <f t="shared" si="1643"/>
        <v>785</v>
      </c>
      <c r="K997" s="80">
        <f t="shared" si="1644"/>
        <v>841</v>
      </c>
      <c r="L997" s="80">
        <f t="shared" si="1645"/>
        <v>1009</v>
      </c>
      <c r="M997" s="80">
        <f t="shared" si="1646"/>
        <v>1166</v>
      </c>
      <c r="N997" s="80">
        <f t="shared" si="1647"/>
        <v>1301</v>
      </c>
      <c r="O997" s="80">
        <f t="shared" si="1648"/>
        <v>1435</v>
      </c>
      <c r="P997" s="81"/>
      <c r="Q997" s="81"/>
      <c r="R997" s="81"/>
      <c r="S997" s="81"/>
      <c r="T997" s="81"/>
      <c r="U997" s="81"/>
      <c r="V997" s="81"/>
      <c r="W997" s="81"/>
      <c r="X997" s="81"/>
      <c r="Y997" s="81"/>
      <c r="Z997" s="81"/>
      <c r="AA997" s="81"/>
      <c r="AB997" s="81"/>
      <c r="AC997" s="81"/>
      <c r="AD997" s="81"/>
      <c r="AE997" s="81"/>
      <c r="AF997" s="81"/>
    </row>
    <row r="998" spans="1:32">
      <c r="A998" s="76" t="s">
        <v>1732</v>
      </c>
      <c r="B998" s="79">
        <f>B999*2*0.45</f>
        <v>35325</v>
      </c>
      <c r="C998" s="79">
        <f t="shared" ref="C998:I998" si="1656">C999*2*0.45</f>
        <v>40365</v>
      </c>
      <c r="D998" s="79">
        <f t="shared" si="1656"/>
        <v>45405</v>
      </c>
      <c r="E998" s="79">
        <f t="shared" si="1656"/>
        <v>50445</v>
      </c>
      <c r="F998" s="79">
        <f t="shared" si="1656"/>
        <v>54495</v>
      </c>
      <c r="G998" s="79">
        <f t="shared" si="1656"/>
        <v>58545</v>
      </c>
      <c r="H998" s="79">
        <f t="shared" si="1656"/>
        <v>62595</v>
      </c>
      <c r="I998" s="79">
        <f t="shared" si="1656"/>
        <v>66600</v>
      </c>
      <c r="J998" s="80">
        <f t="shared" si="1643"/>
        <v>883</v>
      </c>
      <c r="K998" s="80">
        <f t="shared" si="1644"/>
        <v>946</v>
      </c>
      <c r="L998" s="80">
        <f t="shared" si="1645"/>
        <v>1135</v>
      </c>
      <c r="M998" s="80">
        <f t="shared" si="1646"/>
        <v>1311</v>
      </c>
      <c r="N998" s="80">
        <f t="shared" si="1647"/>
        <v>1463</v>
      </c>
      <c r="O998" s="80">
        <f t="shared" si="1648"/>
        <v>1614</v>
      </c>
      <c r="P998" s="81"/>
      <c r="Q998" s="81"/>
      <c r="R998" s="81"/>
      <c r="S998" s="81"/>
      <c r="T998" s="81"/>
      <c r="U998" s="81"/>
      <c r="V998" s="81"/>
      <c r="W998" s="81"/>
      <c r="X998" s="81"/>
      <c r="Y998" s="81"/>
      <c r="Z998" s="81"/>
      <c r="AA998" s="81"/>
      <c r="AB998" s="81"/>
      <c r="AC998" s="81"/>
      <c r="AD998" s="81"/>
      <c r="AE998" s="81"/>
      <c r="AF998" s="81"/>
    </row>
    <row r="999" spans="1:32">
      <c r="A999" s="82" t="s">
        <v>1733</v>
      </c>
      <c r="B999" s="84">
        <f>'MTSP 50% Income Limits '!B57</f>
        <v>39250</v>
      </c>
      <c r="C999" s="84">
        <f>'MTSP 50% Income Limits '!C57</f>
        <v>44850</v>
      </c>
      <c r="D999" s="84">
        <f>'MTSP 50% Income Limits '!D57</f>
        <v>50450</v>
      </c>
      <c r="E999" s="84">
        <f>'MTSP 50% Income Limits '!E57</f>
        <v>56050</v>
      </c>
      <c r="F999" s="84">
        <f>'MTSP 50% Income Limits '!F57</f>
        <v>60550</v>
      </c>
      <c r="G999" s="84">
        <f>'MTSP 50% Income Limits '!G57</f>
        <v>65050</v>
      </c>
      <c r="H999" s="84">
        <f>'MTSP 50% Income Limits '!H57</f>
        <v>69550</v>
      </c>
      <c r="I999" s="84">
        <f>'MTSP 50% Income Limits '!I57</f>
        <v>74000</v>
      </c>
      <c r="J999" s="83">
        <f>TRUNC(B999/12*0.3)</f>
        <v>981</v>
      </c>
      <c r="K999" s="83">
        <f>TRUNC((B999+C999)/2/12*0.3)</f>
        <v>1051</v>
      </c>
      <c r="L999" s="83">
        <f>TRUNC((D999)/12*0.3)</f>
        <v>1261</v>
      </c>
      <c r="M999" s="83">
        <f>TRUNC(((E999+F999)/2)/12*0.3)</f>
        <v>1457</v>
      </c>
      <c r="N999" s="83">
        <f>TRUNC(G999/12*0.3)</f>
        <v>1626</v>
      </c>
      <c r="O999" s="83">
        <f>TRUNC(((H999+I999)/2)/12*0.3)</f>
        <v>1794</v>
      </c>
      <c r="P999" s="81"/>
      <c r="Q999" s="81"/>
      <c r="R999" s="81"/>
      <c r="S999" s="81"/>
      <c r="T999" s="81"/>
      <c r="U999" s="81"/>
      <c r="V999" s="81"/>
      <c r="W999" s="81"/>
      <c r="X999" s="81"/>
      <c r="Y999" s="81"/>
      <c r="Z999" s="81"/>
      <c r="AA999" s="81"/>
      <c r="AB999" s="81"/>
      <c r="AC999" s="81"/>
      <c r="AD999" s="81"/>
      <c r="AE999" s="81"/>
      <c r="AF999" s="81"/>
    </row>
    <row r="1000" spans="1:32">
      <c r="A1000" s="76" t="s">
        <v>1734</v>
      </c>
      <c r="B1000" s="79">
        <f>B999*2*0.55</f>
        <v>43175</v>
      </c>
      <c r="C1000" s="79">
        <f t="shared" ref="C1000:I1000" si="1657">C999*2*0.55</f>
        <v>49335.000000000007</v>
      </c>
      <c r="D1000" s="79">
        <f t="shared" si="1657"/>
        <v>55495.000000000007</v>
      </c>
      <c r="E1000" s="79">
        <f t="shared" si="1657"/>
        <v>61655.000000000007</v>
      </c>
      <c r="F1000" s="79">
        <f t="shared" si="1657"/>
        <v>66605</v>
      </c>
      <c r="G1000" s="79">
        <f t="shared" si="1657"/>
        <v>71555</v>
      </c>
      <c r="H1000" s="79">
        <f t="shared" si="1657"/>
        <v>76505</v>
      </c>
      <c r="I1000" s="79">
        <f t="shared" si="1657"/>
        <v>81400</v>
      </c>
      <c r="J1000" s="80">
        <f t="shared" ref="J1000:J1006" si="1658">TRUNC(B1000/12*0.3)</f>
        <v>1079</v>
      </c>
      <c r="K1000" s="80">
        <f t="shared" ref="K1000:K1006" si="1659">TRUNC((B1000+C1000)/2/12*0.3)</f>
        <v>1156</v>
      </c>
      <c r="L1000" s="80">
        <f t="shared" ref="L1000:L1006" si="1660">TRUNC((D1000)/12*0.3)</f>
        <v>1387</v>
      </c>
      <c r="M1000" s="80">
        <f t="shared" ref="M1000:M1006" si="1661">TRUNC(((E1000+F1000)/2)/12*0.3)</f>
        <v>1603</v>
      </c>
      <c r="N1000" s="80">
        <f t="shared" ref="N1000:N1006" si="1662">TRUNC(G1000/12*0.3)</f>
        <v>1788</v>
      </c>
      <c r="O1000" s="80">
        <f t="shared" ref="O1000:O1006" si="1663">TRUNC(((H1000+I1000)/2)/12*0.3)</f>
        <v>1973</v>
      </c>
      <c r="P1000" s="81"/>
      <c r="Q1000" s="81"/>
      <c r="R1000" s="81"/>
      <c r="S1000" s="81"/>
      <c r="T1000" s="81"/>
      <c r="U1000" s="81"/>
      <c r="V1000" s="81"/>
      <c r="W1000" s="81"/>
      <c r="X1000" s="81"/>
      <c r="Y1000" s="81"/>
      <c r="Z1000" s="81"/>
      <c r="AA1000" s="81"/>
      <c r="AB1000" s="81"/>
      <c r="AC1000" s="81"/>
      <c r="AD1000" s="81"/>
      <c r="AE1000" s="81"/>
      <c r="AF1000" s="81"/>
    </row>
    <row r="1001" spans="1:32">
      <c r="A1001" s="76" t="s">
        <v>1735</v>
      </c>
      <c r="B1001" s="79">
        <f>B999*2*0.6</f>
        <v>47100</v>
      </c>
      <c r="C1001" s="79">
        <f t="shared" ref="C1001:I1001" si="1664">C999*2*0.6</f>
        <v>53820</v>
      </c>
      <c r="D1001" s="79">
        <f t="shared" si="1664"/>
        <v>60540</v>
      </c>
      <c r="E1001" s="79">
        <f t="shared" si="1664"/>
        <v>67260</v>
      </c>
      <c r="F1001" s="79">
        <f t="shared" si="1664"/>
        <v>72660</v>
      </c>
      <c r="G1001" s="79">
        <f t="shared" si="1664"/>
        <v>78060</v>
      </c>
      <c r="H1001" s="79">
        <f t="shared" si="1664"/>
        <v>83460</v>
      </c>
      <c r="I1001" s="79">
        <f t="shared" si="1664"/>
        <v>88800</v>
      </c>
      <c r="J1001" s="80">
        <f t="shared" si="1658"/>
        <v>1177</v>
      </c>
      <c r="K1001" s="80">
        <f t="shared" si="1659"/>
        <v>1261</v>
      </c>
      <c r="L1001" s="80">
        <f t="shared" si="1660"/>
        <v>1513</v>
      </c>
      <c r="M1001" s="80">
        <f t="shared" si="1661"/>
        <v>1749</v>
      </c>
      <c r="N1001" s="80">
        <f t="shared" si="1662"/>
        <v>1951</v>
      </c>
      <c r="O1001" s="80">
        <f t="shared" si="1663"/>
        <v>2153</v>
      </c>
      <c r="P1001" s="81"/>
      <c r="Q1001" s="81"/>
      <c r="R1001" s="81"/>
      <c r="S1001" s="81"/>
      <c r="T1001" s="81"/>
      <c r="U1001" s="81"/>
      <c r="V1001" s="81"/>
      <c r="W1001" s="81"/>
      <c r="X1001" s="81"/>
      <c r="Y1001" s="81"/>
      <c r="Z1001" s="81"/>
      <c r="AA1001" s="81"/>
      <c r="AB1001" s="81"/>
      <c r="AC1001" s="81"/>
      <c r="AD1001" s="81"/>
      <c r="AE1001" s="81"/>
      <c r="AF1001" s="81"/>
    </row>
    <row r="1002" spans="1:32">
      <c r="A1002" s="76" t="s">
        <v>1736</v>
      </c>
      <c r="B1002" s="79">
        <f>B999*2*0.65</f>
        <v>51025</v>
      </c>
      <c r="C1002" s="79">
        <f t="shared" ref="C1002:I1002" si="1665">C999*2*0.65</f>
        <v>58305</v>
      </c>
      <c r="D1002" s="79">
        <f t="shared" si="1665"/>
        <v>65585</v>
      </c>
      <c r="E1002" s="79">
        <f t="shared" si="1665"/>
        <v>72865</v>
      </c>
      <c r="F1002" s="79">
        <f t="shared" si="1665"/>
        <v>78715</v>
      </c>
      <c r="G1002" s="79">
        <f t="shared" si="1665"/>
        <v>84565</v>
      </c>
      <c r="H1002" s="79">
        <f t="shared" si="1665"/>
        <v>90415</v>
      </c>
      <c r="I1002" s="79">
        <f t="shared" si="1665"/>
        <v>96200</v>
      </c>
      <c r="J1002" s="80">
        <f t="shared" si="1658"/>
        <v>1275</v>
      </c>
      <c r="K1002" s="80">
        <f t="shared" si="1659"/>
        <v>1366</v>
      </c>
      <c r="L1002" s="80">
        <f t="shared" si="1660"/>
        <v>1639</v>
      </c>
      <c r="M1002" s="80">
        <f t="shared" si="1661"/>
        <v>1894</v>
      </c>
      <c r="N1002" s="80">
        <f t="shared" si="1662"/>
        <v>2114</v>
      </c>
      <c r="O1002" s="80">
        <f t="shared" si="1663"/>
        <v>2332</v>
      </c>
      <c r="P1002" s="81"/>
      <c r="Q1002" s="81"/>
      <c r="R1002" s="81"/>
      <c r="S1002" s="81"/>
      <c r="T1002" s="81"/>
      <c r="U1002" s="81"/>
      <c r="V1002" s="81"/>
      <c r="W1002" s="81"/>
      <c r="X1002" s="81"/>
      <c r="Y1002" s="81"/>
      <c r="Z1002" s="81"/>
      <c r="AA1002" s="81"/>
      <c r="AB1002" s="81"/>
      <c r="AC1002" s="81"/>
      <c r="AD1002" s="81"/>
      <c r="AE1002" s="81"/>
      <c r="AF1002" s="81"/>
    </row>
    <row r="1003" spans="1:32">
      <c r="A1003" s="76" t="s">
        <v>1737</v>
      </c>
      <c r="B1003" s="79">
        <f>B999*2*0.7</f>
        <v>54950</v>
      </c>
      <c r="C1003" s="79">
        <f t="shared" ref="C1003:I1003" si="1666">C999*2*0.7</f>
        <v>62789.999999999993</v>
      </c>
      <c r="D1003" s="79">
        <f t="shared" si="1666"/>
        <v>70630</v>
      </c>
      <c r="E1003" s="79">
        <f t="shared" si="1666"/>
        <v>78470</v>
      </c>
      <c r="F1003" s="79">
        <f t="shared" si="1666"/>
        <v>84770</v>
      </c>
      <c r="G1003" s="79">
        <f t="shared" si="1666"/>
        <v>91070</v>
      </c>
      <c r="H1003" s="79">
        <f t="shared" si="1666"/>
        <v>97370</v>
      </c>
      <c r="I1003" s="79">
        <f t="shared" si="1666"/>
        <v>103600</v>
      </c>
      <c r="J1003" s="80">
        <f t="shared" si="1658"/>
        <v>1373</v>
      </c>
      <c r="K1003" s="80">
        <f t="shared" si="1659"/>
        <v>1471</v>
      </c>
      <c r="L1003" s="80">
        <f t="shared" si="1660"/>
        <v>1765</v>
      </c>
      <c r="M1003" s="80">
        <f t="shared" si="1661"/>
        <v>2040</v>
      </c>
      <c r="N1003" s="80">
        <f t="shared" si="1662"/>
        <v>2276</v>
      </c>
      <c r="O1003" s="80">
        <f t="shared" si="1663"/>
        <v>2512</v>
      </c>
      <c r="P1003" s="81"/>
      <c r="Q1003" s="81"/>
      <c r="R1003" s="81"/>
      <c r="S1003" s="81"/>
      <c r="T1003" s="81"/>
      <c r="U1003" s="81"/>
      <c r="V1003" s="81"/>
      <c r="W1003" s="81"/>
      <c r="X1003" s="81"/>
      <c r="Y1003" s="81"/>
      <c r="Z1003" s="81"/>
      <c r="AA1003" s="81"/>
      <c r="AB1003" s="81"/>
      <c r="AC1003" s="81"/>
      <c r="AD1003" s="81"/>
      <c r="AE1003" s="81"/>
      <c r="AF1003" s="81"/>
    </row>
    <row r="1004" spans="1:32">
      <c r="A1004" s="76" t="s">
        <v>1738</v>
      </c>
      <c r="B1004" s="79">
        <f>B999*2*0.75</f>
        <v>58875</v>
      </c>
      <c r="C1004" s="79">
        <f t="shared" ref="C1004:I1004" si="1667">C999*2*0.75</f>
        <v>67275</v>
      </c>
      <c r="D1004" s="79">
        <f t="shared" si="1667"/>
        <v>75675</v>
      </c>
      <c r="E1004" s="79">
        <f t="shared" si="1667"/>
        <v>84075</v>
      </c>
      <c r="F1004" s="79">
        <f t="shared" si="1667"/>
        <v>90825</v>
      </c>
      <c r="G1004" s="79">
        <f t="shared" si="1667"/>
        <v>97575</v>
      </c>
      <c r="H1004" s="79">
        <f t="shared" si="1667"/>
        <v>104325</v>
      </c>
      <c r="I1004" s="79">
        <f t="shared" si="1667"/>
        <v>111000</v>
      </c>
      <c r="J1004" s="80">
        <f t="shared" si="1658"/>
        <v>1471</v>
      </c>
      <c r="K1004" s="80">
        <f t="shared" si="1659"/>
        <v>1576</v>
      </c>
      <c r="L1004" s="80">
        <f t="shared" si="1660"/>
        <v>1891</v>
      </c>
      <c r="M1004" s="80">
        <f t="shared" si="1661"/>
        <v>2186</v>
      </c>
      <c r="N1004" s="80">
        <f t="shared" si="1662"/>
        <v>2439</v>
      </c>
      <c r="O1004" s="80">
        <f t="shared" si="1663"/>
        <v>2691</v>
      </c>
      <c r="P1004" s="81"/>
      <c r="Q1004" s="81"/>
      <c r="R1004" s="81"/>
      <c r="S1004" s="81"/>
      <c r="T1004" s="81"/>
      <c r="U1004" s="81"/>
      <c r="V1004" s="81"/>
      <c r="W1004" s="81"/>
      <c r="X1004" s="81"/>
      <c r="Y1004" s="81"/>
      <c r="Z1004" s="81"/>
      <c r="AA1004" s="81"/>
      <c r="AB1004" s="81"/>
      <c r="AC1004" s="81"/>
      <c r="AD1004" s="81"/>
      <c r="AE1004" s="81"/>
      <c r="AF1004" s="81"/>
    </row>
    <row r="1005" spans="1:32">
      <c r="A1005" s="76" t="s">
        <v>1739</v>
      </c>
      <c r="B1005" s="79">
        <f>B999*2*0.8</f>
        <v>62800</v>
      </c>
      <c r="C1005" s="79">
        <f t="shared" ref="C1005:I1005" si="1668">C999*2*0.8</f>
        <v>71760</v>
      </c>
      <c r="D1005" s="79">
        <f t="shared" si="1668"/>
        <v>80720</v>
      </c>
      <c r="E1005" s="79">
        <f t="shared" si="1668"/>
        <v>89680</v>
      </c>
      <c r="F1005" s="79">
        <f t="shared" si="1668"/>
        <v>96880</v>
      </c>
      <c r="G1005" s="79">
        <f t="shared" si="1668"/>
        <v>104080</v>
      </c>
      <c r="H1005" s="79">
        <f t="shared" si="1668"/>
        <v>111280</v>
      </c>
      <c r="I1005" s="79">
        <f t="shared" si="1668"/>
        <v>118400</v>
      </c>
      <c r="J1005" s="80">
        <f t="shared" si="1658"/>
        <v>1570</v>
      </c>
      <c r="K1005" s="80">
        <f t="shared" si="1659"/>
        <v>1682</v>
      </c>
      <c r="L1005" s="80">
        <f t="shared" si="1660"/>
        <v>2018</v>
      </c>
      <c r="M1005" s="80">
        <f t="shared" si="1661"/>
        <v>2332</v>
      </c>
      <c r="N1005" s="80">
        <f t="shared" si="1662"/>
        <v>2602</v>
      </c>
      <c r="O1005" s="80">
        <f t="shared" si="1663"/>
        <v>2871</v>
      </c>
      <c r="P1005" s="81"/>
      <c r="Q1005" s="81"/>
      <c r="R1005" s="81"/>
      <c r="S1005" s="81"/>
      <c r="T1005" s="81"/>
      <c r="U1005" s="81"/>
      <c r="V1005" s="81"/>
      <c r="W1005" s="81"/>
      <c r="X1005" s="81"/>
      <c r="Y1005" s="81"/>
      <c r="Z1005" s="81"/>
      <c r="AA1005" s="81"/>
      <c r="AB1005" s="81"/>
      <c r="AC1005" s="81"/>
      <c r="AD1005" s="81"/>
      <c r="AE1005" s="81"/>
      <c r="AF1005" s="81"/>
    </row>
    <row r="1006" spans="1:32">
      <c r="A1006" s="76" t="s">
        <v>1740</v>
      </c>
      <c r="B1006" s="79">
        <f>B999*2*0.9</f>
        <v>70650</v>
      </c>
      <c r="C1006" s="79">
        <f t="shared" ref="C1006:I1006" si="1669">C999*2*0.9</f>
        <v>80730</v>
      </c>
      <c r="D1006" s="79">
        <f t="shared" si="1669"/>
        <v>90810</v>
      </c>
      <c r="E1006" s="79">
        <f t="shared" si="1669"/>
        <v>100890</v>
      </c>
      <c r="F1006" s="79">
        <f t="shared" si="1669"/>
        <v>108990</v>
      </c>
      <c r="G1006" s="79">
        <f t="shared" si="1669"/>
        <v>117090</v>
      </c>
      <c r="H1006" s="79">
        <f t="shared" si="1669"/>
        <v>125190</v>
      </c>
      <c r="I1006" s="79">
        <f t="shared" si="1669"/>
        <v>133200</v>
      </c>
      <c r="J1006" s="80">
        <f t="shared" si="1658"/>
        <v>1766</v>
      </c>
      <c r="K1006" s="80">
        <f t="shared" si="1659"/>
        <v>1892</v>
      </c>
      <c r="L1006" s="80">
        <f t="shared" si="1660"/>
        <v>2270</v>
      </c>
      <c r="M1006" s="80">
        <f t="shared" si="1661"/>
        <v>2623</v>
      </c>
      <c r="N1006" s="80">
        <f t="shared" si="1662"/>
        <v>2927</v>
      </c>
      <c r="O1006" s="80">
        <f t="shared" si="1663"/>
        <v>3229</v>
      </c>
      <c r="P1006" s="81"/>
      <c r="Q1006" s="81"/>
      <c r="R1006" s="81"/>
      <c r="S1006" s="81"/>
      <c r="T1006" s="81"/>
      <c r="U1006" s="81"/>
      <c r="V1006" s="81"/>
      <c r="W1006" s="81"/>
      <c r="X1006" s="81"/>
      <c r="Y1006" s="81"/>
      <c r="Z1006" s="81"/>
      <c r="AA1006" s="81"/>
      <c r="AB1006" s="81"/>
      <c r="AC1006" s="81"/>
      <c r="AD1006" s="81"/>
      <c r="AE1006" s="81"/>
      <c r="AF1006" s="81"/>
    </row>
    <row r="1007" spans="1:32">
      <c r="A1007" s="76" t="s">
        <v>1741</v>
      </c>
      <c r="B1007" s="79">
        <f>B999*2</f>
        <v>78500</v>
      </c>
      <c r="C1007" s="79">
        <f t="shared" ref="C1007:I1007" si="1670">C999*2</f>
        <v>89700</v>
      </c>
      <c r="D1007" s="79">
        <f t="shared" si="1670"/>
        <v>100900</v>
      </c>
      <c r="E1007" s="79">
        <f t="shared" si="1670"/>
        <v>112100</v>
      </c>
      <c r="F1007" s="79">
        <f t="shared" si="1670"/>
        <v>121100</v>
      </c>
      <c r="G1007" s="79">
        <f t="shared" si="1670"/>
        <v>130100</v>
      </c>
      <c r="H1007" s="79">
        <f t="shared" si="1670"/>
        <v>139100</v>
      </c>
      <c r="I1007" s="79">
        <f t="shared" si="1670"/>
        <v>148000</v>
      </c>
      <c r="J1007" s="80">
        <f>J999*2</f>
        <v>1962</v>
      </c>
      <c r="K1007" s="80">
        <f t="shared" ref="K1007:O1007" si="1671">K999*2</f>
        <v>2102</v>
      </c>
      <c r="L1007" s="80">
        <f t="shared" si="1671"/>
        <v>2522</v>
      </c>
      <c r="M1007" s="80">
        <f t="shared" si="1671"/>
        <v>2914</v>
      </c>
      <c r="N1007" s="80">
        <f t="shared" si="1671"/>
        <v>3252</v>
      </c>
      <c r="O1007" s="80">
        <f t="shared" si="1671"/>
        <v>3588</v>
      </c>
      <c r="P1007" s="81"/>
      <c r="Q1007" s="81"/>
      <c r="R1007" s="81"/>
      <c r="S1007" s="81"/>
      <c r="T1007" s="81"/>
      <c r="U1007" s="81"/>
      <c r="V1007" s="81"/>
      <c r="W1007" s="81"/>
      <c r="X1007" s="81"/>
      <c r="Y1007" s="81"/>
      <c r="Z1007" s="81"/>
      <c r="AA1007" s="81"/>
      <c r="AB1007" s="81"/>
      <c r="AC1007" s="81"/>
      <c r="AD1007" s="81"/>
      <c r="AE1007" s="81"/>
      <c r="AF1007" s="81"/>
    </row>
    <row r="1008" spans="1:32">
      <c r="A1008" s="76" t="s">
        <v>1742</v>
      </c>
      <c r="B1008" s="79">
        <f>B999*2*1.1</f>
        <v>86350</v>
      </c>
      <c r="C1008" s="79">
        <f t="shared" ref="C1008:I1008" si="1672">C999*2*1.1</f>
        <v>98670.000000000015</v>
      </c>
      <c r="D1008" s="79">
        <f t="shared" si="1672"/>
        <v>110990.00000000001</v>
      </c>
      <c r="E1008" s="79">
        <f t="shared" si="1672"/>
        <v>123310.00000000001</v>
      </c>
      <c r="F1008" s="79">
        <f t="shared" si="1672"/>
        <v>133210</v>
      </c>
      <c r="G1008" s="79">
        <f t="shared" si="1672"/>
        <v>143110</v>
      </c>
      <c r="H1008" s="79">
        <f t="shared" si="1672"/>
        <v>153010</v>
      </c>
      <c r="I1008" s="79">
        <f t="shared" si="1672"/>
        <v>162800</v>
      </c>
      <c r="J1008" s="80">
        <f t="shared" ref="J1008:J1016" si="1673">TRUNC(B1008/12*0.3)</f>
        <v>2158</v>
      </c>
      <c r="K1008" s="80">
        <f t="shared" ref="K1008:K1016" si="1674">TRUNC((B1008+C1008)/2/12*0.3)</f>
        <v>2312</v>
      </c>
      <c r="L1008" s="80">
        <f t="shared" ref="L1008:L1016" si="1675">TRUNC((D1008)/12*0.3)</f>
        <v>2774</v>
      </c>
      <c r="M1008" s="80">
        <f t="shared" ref="M1008:M1016" si="1676">TRUNC(((E1008+F1008)/2)/12*0.3)</f>
        <v>3206</v>
      </c>
      <c r="N1008" s="80">
        <f t="shared" ref="N1008:N1016" si="1677">TRUNC(G1008/12*0.3)</f>
        <v>3577</v>
      </c>
      <c r="O1008" s="80">
        <f t="shared" ref="O1008:O1016" si="1678">TRUNC(((H1008+I1008)/2)/12*0.3)</f>
        <v>3947</v>
      </c>
      <c r="P1008" s="81"/>
      <c r="Q1008" s="81"/>
      <c r="R1008" s="81"/>
      <c r="S1008" s="81"/>
      <c r="T1008" s="81"/>
      <c r="U1008" s="81"/>
      <c r="V1008" s="81"/>
      <c r="W1008" s="81"/>
      <c r="X1008" s="81"/>
      <c r="Y1008" s="81"/>
      <c r="Z1008" s="81"/>
      <c r="AA1008" s="81"/>
      <c r="AB1008" s="81"/>
      <c r="AC1008" s="81"/>
      <c r="AD1008" s="81"/>
      <c r="AE1008" s="81"/>
      <c r="AF1008" s="81"/>
    </row>
    <row r="1009" spans="1:32">
      <c r="A1009" s="76" t="s">
        <v>1743</v>
      </c>
      <c r="B1009" s="79">
        <f>B999*2*1.2</f>
        <v>94200</v>
      </c>
      <c r="C1009" s="79">
        <f t="shared" ref="C1009:I1009" si="1679">C999*2*1.2</f>
        <v>107640</v>
      </c>
      <c r="D1009" s="79">
        <f t="shared" si="1679"/>
        <v>121080</v>
      </c>
      <c r="E1009" s="79">
        <f t="shared" si="1679"/>
        <v>134520</v>
      </c>
      <c r="F1009" s="79">
        <f t="shared" si="1679"/>
        <v>145320</v>
      </c>
      <c r="G1009" s="79">
        <f t="shared" si="1679"/>
        <v>156120</v>
      </c>
      <c r="H1009" s="79">
        <f t="shared" si="1679"/>
        <v>166920</v>
      </c>
      <c r="I1009" s="79">
        <f t="shared" si="1679"/>
        <v>177600</v>
      </c>
      <c r="J1009" s="80">
        <f t="shared" si="1673"/>
        <v>2355</v>
      </c>
      <c r="K1009" s="80">
        <f t="shared" si="1674"/>
        <v>2523</v>
      </c>
      <c r="L1009" s="80">
        <f t="shared" si="1675"/>
        <v>3027</v>
      </c>
      <c r="M1009" s="80">
        <f t="shared" si="1676"/>
        <v>3498</v>
      </c>
      <c r="N1009" s="80">
        <f t="shared" si="1677"/>
        <v>3903</v>
      </c>
      <c r="O1009" s="80">
        <f t="shared" si="1678"/>
        <v>4306</v>
      </c>
      <c r="P1009" s="81"/>
      <c r="Q1009" s="81"/>
      <c r="R1009" s="81"/>
      <c r="S1009" s="81"/>
      <c r="T1009" s="81"/>
      <c r="U1009" s="81"/>
      <c r="V1009" s="81"/>
      <c r="W1009" s="81"/>
      <c r="X1009" s="81"/>
      <c r="Y1009" s="81"/>
      <c r="Z1009" s="81"/>
      <c r="AA1009" s="81"/>
      <c r="AB1009" s="81"/>
      <c r="AC1009" s="81"/>
      <c r="AD1009" s="81"/>
      <c r="AE1009" s="81"/>
      <c r="AF1009" s="81"/>
    </row>
    <row r="1010" spans="1:32">
      <c r="A1010" s="76" t="s">
        <v>1744</v>
      </c>
      <c r="B1010" s="79">
        <f>B1017*2*0.15</f>
        <v>9315</v>
      </c>
      <c r="C1010" s="79">
        <f>C1017*2*0.15</f>
        <v>10635</v>
      </c>
      <c r="D1010" s="79">
        <f>D1017*2*0.15</f>
        <v>11970</v>
      </c>
      <c r="E1010" s="79">
        <f>E1017*2*0.15</f>
        <v>13290</v>
      </c>
      <c r="F1010" s="79">
        <f>F1017*2*0.15</f>
        <v>14355</v>
      </c>
      <c r="G1010" s="79">
        <f t="shared" ref="G1010:I1010" si="1680">G1017*2*0.15</f>
        <v>15420</v>
      </c>
      <c r="H1010" s="79">
        <f t="shared" si="1680"/>
        <v>16485</v>
      </c>
      <c r="I1010" s="79">
        <f t="shared" si="1680"/>
        <v>17550</v>
      </c>
      <c r="J1010" s="80">
        <f t="shared" si="1673"/>
        <v>232</v>
      </c>
      <c r="K1010" s="80">
        <f t="shared" si="1674"/>
        <v>249</v>
      </c>
      <c r="L1010" s="80">
        <f t="shared" si="1675"/>
        <v>299</v>
      </c>
      <c r="M1010" s="80">
        <f t="shared" si="1676"/>
        <v>345</v>
      </c>
      <c r="N1010" s="80">
        <f t="shared" si="1677"/>
        <v>385</v>
      </c>
      <c r="O1010" s="80">
        <f t="shared" si="1678"/>
        <v>425</v>
      </c>
      <c r="P1010" s="81"/>
      <c r="Q1010" s="81"/>
      <c r="R1010" s="81"/>
      <c r="S1010" s="81"/>
      <c r="T1010" s="81"/>
      <c r="U1010" s="81"/>
      <c r="V1010" s="81"/>
      <c r="W1010" s="81"/>
      <c r="X1010" s="81"/>
      <c r="Y1010" s="81"/>
      <c r="Z1010" s="81"/>
      <c r="AA1010" s="81"/>
      <c r="AB1010" s="81"/>
      <c r="AC1010" s="81"/>
      <c r="AD1010" s="81"/>
      <c r="AE1010" s="81"/>
      <c r="AF1010" s="81"/>
    </row>
    <row r="1011" spans="1:32">
      <c r="A1011" s="76" t="s">
        <v>1745</v>
      </c>
      <c r="B1011" s="79">
        <f>B1017*2*0.2</f>
        <v>12420</v>
      </c>
      <c r="C1011" s="79">
        <f t="shared" ref="C1011:I1011" si="1681">C1017*2*0.2</f>
        <v>14180</v>
      </c>
      <c r="D1011" s="79">
        <f t="shared" si="1681"/>
        <v>15960</v>
      </c>
      <c r="E1011" s="79">
        <f t="shared" si="1681"/>
        <v>17720</v>
      </c>
      <c r="F1011" s="79">
        <f t="shared" si="1681"/>
        <v>19140</v>
      </c>
      <c r="G1011" s="79">
        <f t="shared" si="1681"/>
        <v>20560</v>
      </c>
      <c r="H1011" s="79">
        <f t="shared" si="1681"/>
        <v>21980</v>
      </c>
      <c r="I1011" s="79">
        <f t="shared" si="1681"/>
        <v>23400</v>
      </c>
      <c r="J1011" s="80">
        <f t="shared" si="1673"/>
        <v>310</v>
      </c>
      <c r="K1011" s="80">
        <f t="shared" si="1674"/>
        <v>332</v>
      </c>
      <c r="L1011" s="80">
        <f t="shared" si="1675"/>
        <v>399</v>
      </c>
      <c r="M1011" s="80">
        <f t="shared" si="1676"/>
        <v>460</v>
      </c>
      <c r="N1011" s="80">
        <f t="shared" si="1677"/>
        <v>514</v>
      </c>
      <c r="O1011" s="80">
        <f t="shared" si="1678"/>
        <v>567</v>
      </c>
      <c r="P1011" s="81"/>
      <c r="Q1011" s="81"/>
      <c r="R1011" s="81"/>
      <c r="S1011" s="81"/>
      <c r="T1011" s="81"/>
      <c r="U1011" s="81"/>
      <c r="V1011" s="81"/>
      <c r="W1011" s="81"/>
      <c r="X1011" s="81"/>
      <c r="Y1011" s="81"/>
      <c r="Z1011" s="81"/>
      <c r="AA1011" s="81"/>
      <c r="AB1011" s="81"/>
      <c r="AC1011" s="81"/>
      <c r="AD1011" s="81"/>
      <c r="AE1011" s="81"/>
      <c r="AF1011" s="81"/>
    </row>
    <row r="1012" spans="1:32">
      <c r="A1012" s="76" t="s">
        <v>1746</v>
      </c>
      <c r="B1012" s="79">
        <f>B1017*2*0.25</f>
        <v>15525</v>
      </c>
      <c r="C1012" s="79">
        <f t="shared" ref="C1012:I1012" si="1682">C1017*2*0.25</f>
        <v>17725</v>
      </c>
      <c r="D1012" s="79">
        <f t="shared" si="1682"/>
        <v>19950</v>
      </c>
      <c r="E1012" s="79">
        <f t="shared" si="1682"/>
        <v>22150</v>
      </c>
      <c r="F1012" s="79">
        <f t="shared" si="1682"/>
        <v>23925</v>
      </c>
      <c r="G1012" s="79">
        <f t="shared" si="1682"/>
        <v>25700</v>
      </c>
      <c r="H1012" s="79">
        <f t="shared" si="1682"/>
        <v>27475</v>
      </c>
      <c r="I1012" s="79">
        <f t="shared" si="1682"/>
        <v>29250</v>
      </c>
      <c r="J1012" s="80">
        <f t="shared" si="1673"/>
        <v>388</v>
      </c>
      <c r="K1012" s="80">
        <f t="shared" si="1674"/>
        <v>415</v>
      </c>
      <c r="L1012" s="80">
        <f t="shared" si="1675"/>
        <v>498</v>
      </c>
      <c r="M1012" s="80">
        <f t="shared" si="1676"/>
        <v>575</v>
      </c>
      <c r="N1012" s="80">
        <f t="shared" si="1677"/>
        <v>642</v>
      </c>
      <c r="O1012" s="80">
        <f t="shared" si="1678"/>
        <v>709</v>
      </c>
      <c r="P1012" s="81"/>
      <c r="Q1012" s="81"/>
      <c r="R1012" s="81"/>
      <c r="S1012" s="81"/>
      <c r="T1012" s="81"/>
      <c r="U1012" s="81"/>
      <c r="V1012" s="81"/>
      <c r="W1012" s="81"/>
      <c r="X1012" s="81"/>
      <c r="Y1012" s="81"/>
      <c r="Z1012" s="81"/>
      <c r="AA1012" s="81"/>
      <c r="AB1012" s="81"/>
      <c r="AC1012" s="81"/>
      <c r="AD1012" s="81"/>
      <c r="AE1012" s="81"/>
      <c r="AF1012" s="81"/>
    </row>
    <row r="1013" spans="1:32">
      <c r="A1013" s="76" t="s">
        <v>1747</v>
      </c>
      <c r="B1013" s="79">
        <f>B1017*2*0.3</f>
        <v>18630</v>
      </c>
      <c r="C1013" s="79">
        <f t="shared" ref="C1013:I1013" si="1683">C1017*2*0.3</f>
        <v>21270</v>
      </c>
      <c r="D1013" s="79">
        <f t="shared" si="1683"/>
        <v>23940</v>
      </c>
      <c r="E1013" s="79">
        <f t="shared" si="1683"/>
        <v>26580</v>
      </c>
      <c r="F1013" s="79">
        <f t="shared" si="1683"/>
        <v>28710</v>
      </c>
      <c r="G1013" s="79">
        <f t="shared" si="1683"/>
        <v>30840</v>
      </c>
      <c r="H1013" s="79">
        <f t="shared" si="1683"/>
        <v>32970</v>
      </c>
      <c r="I1013" s="79">
        <f t="shared" si="1683"/>
        <v>35100</v>
      </c>
      <c r="J1013" s="80">
        <f t="shared" si="1673"/>
        <v>465</v>
      </c>
      <c r="K1013" s="80">
        <f t="shared" si="1674"/>
        <v>498</v>
      </c>
      <c r="L1013" s="80">
        <f t="shared" si="1675"/>
        <v>598</v>
      </c>
      <c r="M1013" s="80">
        <f t="shared" si="1676"/>
        <v>691</v>
      </c>
      <c r="N1013" s="80">
        <f t="shared" si="1677"/>
        <v>771</v>
      </c>
      <c r="O1013" s="80">
        <f t="shared" si="1678"/>
        <v>850</v>
      </c>
      <c r="P1013" s="81"/>
      <c r="Q1013" s="81"/>
      <c r="R1013" s="81"/>
      <c r="S1013" s="81"/>
      <c r="T1013" s="81"/>
      <c r="U1013" s="81"/>
      <c r="V1013" s="81"/>
      <c r="W1013" s="81"/>
      <c r="X1013" s="81"/>
      <c r="Y1013" s="81"/>
      <c r="Z1013" s="81"/>
      <c r="AA1013" s="81"/>
      <c r="AB1013" s="81"/>
      <c r="AC1013" s="81"/>
      <c r="AD1013" s="81"/>
      <c r="AE1013" s="81"/>
      <c r="AF1013" s="81"/>
    </row>
    <row r="1014" spans="1:32">
      <c r="A1014" s="76" t="s">
        <v>1748</v>
      </c>
      <c r="B1014" s="79">
        <f>B1017*2*0.35</f>
        <v>21735</v>
      </c>
      <c r="C1014" s="79">
        <f t="shared" ref="C1014:I1014" si="1684">C1017*2*0.35</f>
        <v>24815</v>
      </c>
      <c r="D1014" s="79">
        <f t="shared" si="1684"/>
        <v>27930</v>
      </c>
      <c r="E1014" s="79">
        <f t="shared" si="1684"/>
        <v>31009.999999999996</v>
      </c>
      <c r="F1014" s="79">
        <f t="shared" si="1684"/>
        <v>33495</v>
      </c>
      <c r="G1014" s="79">
        <f t="shared" si="1684"/>
        <v>35980</v>
      </c>
      <c r="H1014" s="79">
        <f t="shared" si="1684"/>
        <v>38465</v>
      </c>
      <c r="I1014" s="79">
        <f t="shared" si="1684"/>
        <v>40950</v>
      </c>
      <c r="J1014" s="80">
        <f t="shared" si="1673"/>
        <v>543</v>
      </c>
      <c r="K1014" s="80">
        <f t="shared" si="1674"/>
        <v>581</v>
      </c>
      <c r="L1014" s="80">
        <f t="shared" si="1675"/>
        <v>698</v>
      </c>
      <c r="M1014" s="80">
        <f t="shared" si="1676"/>
        <v>806</v>
      </c>
      <c r="N1014" s="80">
        <f t="shared" si="1677"/>
        <v>899</v>
      </c>
      <c r="O1014" s="80">
        <f t="shared" si="1678"/>
        <v>992</v>
      </c>
      <c r="P1014" s="81"/>
      <c r="Q1014" s="81"/>
      <c r="R1014" s="81"/>
      <c r="S1014" s="81"/>
      <c r="T1014" s="81"/>
      <c r="U1014" s="81"/>
      <c r="V1014" s="81"/>
      <c r="W1014" s="81"/>
      <c r="X1014" s="81"/>
      <c r="Y1014" s="81"/>
      <c r="Z1014" s="81"/>
      <c r="AA1014" s="81"/>
      <c r="AB1014" s="81"/>
      <c r="AC1014" s="81"/>
      <c r="AD1014" s="81"/>
      <c r="AE1014" s="81"/>
      <c r="AF1014" s="81"/>
    </row>
    <row r="1015" spans="1:32">
      <c r="A1015" s="76" t="s">
        <v>1749</v>
      </c>
      <c r="B1015" s="79">
        <f>B1017*2*0.4</f>
        <v>24840</v>
      </c>
      <c r="C1015" s="79">
        <f t="shared" ref="C1015:I1015" si="1685">C1017*2*0.4</f>
        <v>28360</v>
      </c>
      <c r="D1015" s="79">
        <f t="shared" si="1685"/>
        <v>31920</v>
      </c>
      <c r="E1015" s="79">
        <f t="shared" si="1685"/>
        <v>35440</v>
      </c>
      <c r="F1015" s="79">
        <f t="shared" si="1685"/>
        <v>38280</v>
      </c>
      <c r="G1015" s="79">
        <f t="shared" si="1685"/>
        <v>41120</v>
      </c>
      <c r="H1015" s="79">
        <f t="shared" si="1685"/>
        <v>43960</v>
      </c>
      <c r="I1015" s="79">
        <f t="shared" si="1685"/>
        <v>46800</v>
      </c>
      <c r="J1015" s="80">
        <f t="shared" si="1673"/>
        <v>621</v>
      </c>
      <c r="K1015" s="80">
        <f t="shared" si="1674"/>
        <v>665</v>
      </c>
      <c r="L1015" s="80">
        <f t="shared" si="1675"/>
        <v>798</v>
      </c>
      <c r="M1015" s="80">
        <f t="shared" si="1676"/>
        <v>921</v>
      </c>
      <c r="N1015" s="80">
        <f t="shared" si="1677"/>
        <v>1028</v>
      </c>
      <c r="O1015" s="80">
        <f t="shared" si="1678"/>
        <v>1134</v>
      </c>
      <c r="P1015" s="81"/>
      <c r="Q1015" s="81"/>
      <c r="R1015" s="81"/>
      <c r="S1015" s="81"/>
      <c r="T1015" s="81"/>
      <c r="U1015" s="81"/>
      <c r="V1015" s="81"/>
      <c r="W1015" s="81"/>
      <c r="X1015" s="81"/>
      <c r="Y1015" s="81"/>
      <c r="Z1015" s="81"/>
      <c r="AA1015" s="81"/>
      <c r="AB1015" s="81"/>
      <c r="AC1015" s="81"/>
      <c r="AD1015" s="81"/>
      <c r="AE1015" s="81"/>
      <c r="AF1015" s="81"/>
    </row>
    <row r="1016" spans="1:32">
      <c r="A1016" s="76" t="s">
        <v>1750</v>
      </c>
      <c r="B1016" s="79">
        <f>B1017*2*0.45</f>
        <v>27945</v>
      </c>
      <c r="C1016" s="79">
        <f t="shared" ref="C1016:I1016" si="1686">C1017*2*0.45</f>
        <v>31905</v>
      </c>
      <c r="D1016" s="79">
        <f t="shared" si="1686"/>
        <v>35910</v>
      </c>
      <c r="E1016" s="79">
        <f t="shared" si="1686"/>
        <v>39870</v>
      </c>
      <c r="F1016" s="79">
        <f t="shared" si="1686"/>
        <v>43065</v>
      </c>
      <c r="G1016" s="79">
        <f t="shared" si="1686"/>
        <v>46260</v>
      </c>
      <c r="H1016" s="79">
        <f t="shared" si="1686"/>
        <v>49455</v>
      </c>
      <c r="I1016" s="79">
        <f t="shared" si="1686"/>
        <v>52650</v>
      </c>
      <c r="J1016" s="80">
        <f t="shared" si="1673"/>
        <v>698</v>
      </c>
      <c r="K1016" s="80">
        <f t="shared" si="1674"/>
        <v>748</v>
      </c>
      <c r="L1016" s="80">
        <f t="shared" si="1675"/>
        <v>897</v>
      </c>
      <c r="M1016" s="80">
        <f t="shared" si="1676"/>
        <v>1036</v>
      </c>
      <c r="N1016" s="80">
        <f t="shared" si="1677"/>
        <v>1156</v>
      </c>
      <c r="O1016" s="80">
        <f t="shared" si="1678"/>
        <v>1276</v>
      </c>
      <c r="P1016" s="81"/>
      <c r="Q1016" s="81"/>
      <c r="R1016" s="81"/>
      <c r="S1016" s="81"/>
      <c r="T1016" s="81"/>
      <c r="U1016" s="81"/>
      <c r="V1016" s="81"/>
      <c r="W1016" s="81"/>
      <c r="X1016" s="81"/>
      <c r="Y1016" s="81"/>
      <c r="Z1016" s="81"/>
      <c r="AA1016" s="81"/>
      <c r="AB1016" s="81"/>
      <c r="AC1016" s="81"/>
      <c r="AD1016" s="81"/>
      <c r="AE1016" s="81"/>
      <c r="AF1016" s="81"/>
    </row>
    <row r="1017" spans="1:32">
      <c r="A1017" s="82" t="s">
        <v>1751</v>
      </c>
      <c r="B1017" s="84">
        <f>'MTSP 50% Income Limits '!B58</f>
        <v>31050</v>
      </c>
      <c r="C1017" s="84">
        <f>'MTSP 50% Income Limits '!C58</f>
        <v>35450</v>
      </c>
      <c r="D1017" s="84">
        <f>'MTSP 50% Income Limits '!D58</f>
        <v>39900</v>
      </c>
      <c r="E1017" s="84">
        <f>'MTSP 50% Income Limits '!E58</f>
        <v>44300</v>
      </c>
      <c r="F1017" s="84">
        <f>'MTSP 50% Income Limits '!F58</f>
        <v>47850</v>
      </c>
      <c r="G1017" s="84">
        <f>'MTSP 50% Income Limits '!G58</f>
        <v>51400</v>
      </c>
      <c r="H1017" s="84">
        <f>'MTSP 50% Income Limits '!H58</f>
        <v>54950</v>
      </c>
      <c r="I1017" s="84">
        <f>'MTSP 50% Income Limits '!I58</f>
        <v>58500</v>
      </c>
      <c r="J1017" s="83">
        <f>TRUNC(B1017/12*0.3)</f>
        <v>776</v>
      </c>
      <c r="K1017" s="83">
        <f>TRUNC((B1017+C1017)/2/12*0.3)</f>
        <v>831</v>
      </c>
      <c r="L1017" s="83">
        <f>TRUNC((D1017)/12*0.3)</f>
        <v>997</v>
      </c>
      <c r="M1017" s="83">
        <f>TRUNC(((E1017+F1017)/2)/12*0.3)</f>
        <v>1151</v>
      </c>
      <c r="N1017" s="83">
        <f>TRUNC(G1017/12*0.3)</f>
        <v>1285</v>
      </c>
      <c r="O1017" s="83">
        <f>TRUNC(((H1017+I1017)/2)/12*0.3)</f>
        <v>1418</v>
      </c>
      <c r="P1017" s="81"/>
      <c r="Q1017" s="81"/>
      <c r="R1017" s="81"/>
      <c r="S1017" s="81"/>
      <c r="T1017" s="81"/>
      <c r="U1017" s="81"/>
      <c r="V1017" s="81"/>
      <c r="W1017" s="81"/>
      <c r="X1017" s="81"/>
      <c r="Y1017" s="81"/>
      <c r="Z1017" s="81"/>
      <c r="AA1017" s="81"/>
      <c r="AB1017" s="81"/>
      <c r="AC1017" s="81"/>
      <c r="AD1017" s="81"/>
      <c r="AE1017" s="81"/>
      <c r="AF1017" s="81"/>
    </row>
    <row r="1018" spans="1:32">
      <c r="A1018" s="76" t="s">
        <v>1752</v>
      </c>
      <c r="B1018" s="79">
        <f>B1017*2*0.55</f>
        <v>34155</v>
      </c>
      <c r="C1018" s="79">
        <f t="shared" ref="C1018:I1018" si="1687">C1017*2*0.55</f>
        <v>38995</v>
      </c>
      <c r="D1018" s="79">
        <f t="shared" si="1687"/>
        <v>43890</v>
      </c>
      <c r="E1018" s="79">
        <f t="shared" si="1687"/>
        <v>48730.000000000007</v>
      </c>
      <c r="F1018" s="79">
        <f t="shared" si="1687"/>
        <v>52635.000000000007</v>
      </c>
      <c r="G1018" s="79">
        <f t="shared" si="1687"/>
        <v>56540.000000000007</v>
      </c>
      <c r="H1018" s="79">
        <f t="shared" si="1687"/>
        <v>60445.000000000007</v>
      </c>
      <c r="I1018" s="79">
        <f t="shared" si="1687"/>
        <v>64350.000000000007</v>
      </c>
      <c r="J1018" s="80">
        <f t="shared" ref="J1018:J1024" si="1688">TRUNC(B1018/12*0.3)</f>
        <v>853</v>
      </c>
      <c r="K1018" s="80">
        <f t="shared" ref="K1018:K1024" si="1689">TRUNC((B1018+C1018)/2/12*0.3)</f>
        <v>914</v>
      </c>
      <c r="L1018" s="80">
        <f t="shared" ref="L1018:L1024" si="1690">TRUNC((D1018)/12*0.3)</f>
        <v>1097</v>
      </c>
      <c r="M1018" s="80">
        <f t="shared" ref="M1018:M1024" si="1691">TRUNC(((E1018+F1018)/2)/12*0.3)</f>
        <v>1267</v>
      </c>
      <c r="N1018" s="80">
        <f t="shared" ref="N1018:N1024" si="1692">TRUNC(G1018/12*0.3)</f>
        <v>1413</v>
      </c>
      <c r="O1018" s="80">
        <f t="shared" ref="O1018:O1024" si="1693">TRUNC(((H1018+I1018)/2)/12*0.3)</f>
        <v>1559</v>
      </c>
      <c r="P1018" s="81"/>
      <c r="Q1018" s="81"/>
      <c r="R1018" s="81"/>
      <c r="S1018" s="81"/>
      <c r="T1018" s="81"/>
      <c r="U1018" s="81"/>
      <c r="V1018" s="81"/>
      <c r="W1018" s="81"/>
      <c r="X1018" s="81"/>
      <c r="Y1018" s="81"/>
      <c r="Z1018" s="81"/>
      <c r="AA1018" s="81"/>
      <c r="AB1018" s="81"/>
      <c r="AC1018" s="81"/>
      <c r="AD1018" s="81"/>
      <c r="AE1018" s="81"/>
      <c r="AF1018" s="81"/>
    </row>
    <row r="1019" spans="1:32">
      <c r="A1019" s="76" t="s">
        <v>1753</v>
      </c>
      <c r="B1019" s="79">
        <f>B1017*2*0.6</f>
        <v>37260</v>
      </c>
      <c r="C1019" s="79">
        <f t="shared" ref="C1019:I1019" si="1694">C1017*2*0.6</f>
        <v>42540</v>
      </c>
      <c r="D1019" s="79">
        <f t="shared" si="1694"/>
        <v>47880</v>
      </c>
      <c r="E1019" s="79">
        <f t="shared" si="1694"/>
        <v>53160</v>
      </c>
      <c r="F1019" s="79">
        <f t="shared" si="1694"/>
        <v>57420</v>
      </c>
      <c r="G1019" s="79">
        <f t="shared" si="1694"/>
        <v>61680</v>
      </c>
      <c r="H1019" s="79">
        <f t="shared" si="1694"/>
        <v>65940</v>
      </c>
      <c r="I1019" s="79">
        <f t="shared" si="1694"/>
        <v>70200</v>
      </c>
      <c r="J1019" s="80">
        <f t="shared" si="1688"/>
        <v>931</v>
      </c>
      <c r="K1019" s="80">
        <f t="shared" si="1689"/>
        <v>997</v>
      </c>
      <c r="L1019" s="80">
        <f t="shared" si="1690"/>
        <v>1197</v>
      </c>
      <c r="M1019" s="80">
        <f t="shared" si="1691"/>
        <v>1382</v>
      </c>
      <c r="N1019" s="80">
        <f t="shared" si="1692"/>
        <v>1542</v>
      </c>
      <c r="O1019" s="80">
        <f t="shared" si="1693"/>
        <v>1701</v>
      </c>
      <c r="P1019" s="81"/>
      <c r="Q1019" s="81"/>
      <c r="R1019" s="81"/>
      <c r="S1019" s="81"/>
      <c r="T1019" s="81"/>
      <c r="U1019" s="81"/>
      <c r="V1019" s="81"/>
      <c r="W1019" s="81"/>
      <c r="X1019" s="81"/>
      <c r="Y1019" s="81"/>
      <c r="Z1019" s="81"/>
      <c r="AA1019" s="81"/>
      <c r="AB1019" s="81"/>
      <c r="AC1019" s="81"/>
      <c r="AD1019" s="81"/>
      <c r="AE1019" s="81"/>
      <c r="AF1019" s="81"/>
    </row>
    <row r="1020" spans="1:32">
      <c r="A1020" s="76" t="s">
        <v>1754</v>
      </c>
      <c r="B1020" s="79">
        <f>B1017*2*0.65</f>
        <v>40365</v>
      </c>
      <c r="C1020" s="79">
        <f t="shared" ref="C1020:I1020" si="1695">C1017*2*0.65</f>
        <v>46085</v>
      </c>
      <c r="D1020" s="79">
        <f t="shared" si="1695"/>
        <v>51870</v>
      </c>
      <c r="E1020" s="79">
        <f t="shared" si="1695"/>
        <v>57590</v>
      </c>
      <c r="F1020" s="79">
        <f t="shared" si="1695"/>
        <v>62205</v>
      </c>
      <c r="G1020" s="79">
        <f t="shared" si="1695"/>
        <v>66820</v>
      </c>
      <c r="H1020" s="79">
        <f t="shared" si="1695"/>
        <v>71435</v>
      </c>
      <c r="I1020" s="79">
        <f t="shared" si="1695"/>
        <v>76050</v>
      </c>
      <c r="J1020" s="80">
        <f t="shared" si="1688"/>
        <v>1009</v>
      </c>
      <c r="K1020" s="80">
        <f t="shared" si="1689"/>
        <v>1080</v>
      </c>
      <c r="L1020" s="80">
        <f t="shared" si="1690"/>
        <v>1296</v>
      </c>
      <c r="M1020" s="80">
        <f t="shared" si="1691"/>
        <v>1497</v>
      </c>
      <c r="N1020" s="80">
        <f t="shared" si="1692"/>
        <v>1670</v>
      </c>
      <c r="O1020" s="80">
        <f t="shared" si="1693"/>
        <v>1843</v>
      </c>
      <c r="P1020" s="81"/>
      <c r="Q1020" s="81"/>
      <c r="R1020" s="81"/>
      <c r="S1020" s="81"/>
      <c r="T1020" s="81"/>
      <c r="U1020" s="81"/>
      <c r="V1020" s="81"/>
      <c r="W1020" s="81"/>
      <c r="X1020" s="81"/>
      <c r="Y1020" s="81"/>
      <c r="Z1020" s="81"/>
      <c r="AA1020" s="81"/>
      <c r="AB1020" s="81"/>
      <c r="AC1020" s="81"/>
      <c r="AD1020" s="81"/>
      <c r="AE1020" s="81"/>
      <c r="AF1020" s="81"/>
    </row>
    <row r="1021" spans="1:32">
      <c r="A1021" s="76" t="s">
        <v>1755</v>
      </c>
      <c r="B1021" s="79">
        <f>B1017*2*0.7</f>
        <v>43470</v>
      </c>
      <c r="C1021" s="79">
        <f t="shared" ref="C1021:I1021" si="1696">C1017*2*0.7</f>
        <v>49630</v>
      </c>
      <c r="D1021" s="79">
        <f t="shared" si="1696"/>
        <v>55860</v>
      </c>
      <c r="E1021" s="79">
        <f t="shared" si="1696"/>
        <v>62019.999999999993</v>
      </c>
      <c r="F1021" s="79">
        <f t="shared" si="1696"/>
        <v>66990</v>
      </c>
      <c r="G1021" s="79">
        <f t="shared" si="1696"/>
        <v>71960</v>
      </c>
      <c r="H1021" s="79">
        <f t="shared" si="1696"/>
        <v>76930</v>
      </c>
      <c r="I1021" s="79">
        <f t="shared" si="1696"/>
        <v>81900</v>
      </c>
      <c r="J1021" s="80">
        <f t="shared" si="1688"/>
        <v>1086</v>
      </c>
      <c r="K1021" s="80">
        <f t="shared" si="1689"/>
        <v>1163</v>
      </c>
      <c r="L1021" s="80">
        <f t="shared" si="1690"/>
        <v>1396</v>
      </c>
      <c r="M1021" s="80">
        <f t="shared" si="1691"/>
        <v>1612</v>
      </c>
      <c r="N1021" s="80">
        <f t="shared" si="1692"/>
        <v>1799</v>
      </c>
      <c r="O1021" s="80">
        <f t="shared" si="1693"/>
        <v>1985</v>
      </c>
      <c r="P1021" s="81"/>
      <c r="Q1021" s="81"/>
      <c r="R1021" s="81"/>
      <c r="S1021" s="81"/>
      <c r="T1021" s="81"/>
      <c r="U1021" s="81"/>
      <c r="V1021" s="81"/>
      <c r="W1021" s="81"/>
      <c r="X1021" s="81"/>
      <c r="Y1021" s="81"/>
      <c r="Z1021" s="81"/>
      <c r="AA1021" s="81"/>
      <c r="AB1021" s="81"/>
      <c r="AC1021" s="81"/>
      <c r="AD1021" s="81"/>
      <c r="AE1021" s="81"/>
      <c r="AF1021" s="81"/>
    </row>
    <row r="1022" spans="1:32">
      <c r="A1022" s="76" t="s">
        <v>1756</v>
      </c>
      <c r="B1022" s="79">
        <f>B1017*2*0.75</f>
        <v>46575</v>
      </c>
      <c r="C1022" s="79">
        <f t="shared" ref="C1022:I1022" si="1697">C1017*2*0.75</f>
        <v>53175</v>
      </c>
      <c r="D1022" s="79">
        <f t="shared" si="1697"/>
        <v>59850</v>
      </c>
      <c r="E1022" s="79">
        <f t="shared" si="1697"/>
        <v>66450</v>
      </c>
      <c r="F1022" s="79">
        <f t="shared" si="1697"/>
        <v>71775</v>
      </c>
      <c r="G1022" s="79">
        <f t="shared" si="1697"/>
        <v>77100</v>
      </c>
      <c r="H1022" s="79">
        <f t="shared" si="1697"/>
        <v>82425</v>
      </c>
      <c r="I1022" s="79">
        <f t="shared" si="1697"/>
        <v>87750</v>
      </c>
      <c r="J1022" s="80">
        <f t="shared" si="1688"/>
        <v>1164</v>
      </c>
      <c r="K1022" s="80">
        <f t="shared" si="1689"/>
        <v>1246</v>
      </c>
      <c r="L1022" s="80">
        <f t="shared" si="1690"/>
        <v>1496</v>
      </c>
      <c r="M1022" s="80">
        <f t="shared" si="1691"/>
        <v>1727</v>
      </c>
      <c r="N1022" s="80">
        <f t="shared" si="1692"/>
        <v>1927</v>
      </c>
      <c r="O1022" s="80">
        <f t="shared" si="1693"/>
        <v>2127</v>
      </c>
      <c r="P1022" s="81"/>
      <c r="Q1022" s="81"/>
      <c r="R1022" s="81"/>
      <c r="S1022" s="81"/>
      <c r="T1022" s="81"/>
      <c r="U1022" s="81"/>
      <c r="V1022" s="81"/>
      <c r="W1022" s="81"/>
      <c r="X1022" s="81"/>
      <c r="Y1022" s="81"/>
      <c r="Z1022" s="81"/>
      <c r="AA1022" s="81"/>
      <c r="AB1022" s="81"/>
      <c r="AC1022" s="81"/>
      <c r="AD1022" s="81"/>
      <c r="AE1022" s="81"/>
      <c r="AF1022" s="81"/>
    </row>
    <row r="1023" spans="1:32">
      <c r="A1023" s="76" t="s">
        <v>1757</v>
      </c>
      <c r="B1023" s="79">
        <f>B1017*2*0.8</f>
        <v>49680</v>
      </c>
      <c r="C1023" s="79">
        <f t="shared" ref="C1023:I1023" si="1698">C1017*2*0.8</f>
        <v>56720</v>
      </c>
      <c r="D1023" s="79">
        <f t="shared" si="1698"/>
        <v>63840</v>
      </c>
      <c r="E1023" s="79">
        <f t="shared" si="1698"/>
        <v>70880</v>
      </c>
      <c r="F1023" s="79">
        <f t="shared" si="1698"/>
        <v>76560</v>
      </c>
      <c r="G1023" s="79">
        <f t="shared" si="1698"/>
        <v>82240</v>
      </c>
      <c r="H1023" s="79">
        <f t="shared" si="1698"/>
        <v>87920</v>
      </c>
      <c r="I1023" s="79">
        <f t="shared" si="1698"/>
        <v>93600</v>
      </c>
      <c r="J1023" s="80">
        <f t="shared" si="1688"/>
        <v>1242</v>
      </c>
      <c r="K1023" s="80">
        <f t="shared" si="1689"/>
        <v>1330</v>
      </c>
      <c r="L1023" s="80">
        <f t="shared" si="1690"/>
        <v>1596</v>
      </c>
      <c r="M1023" s="80">
        <f t="shared" si="1691"/>
        <v>1843</v>
      </c>
      <c r="N1023" s="80">
        <f t="shared" si="1692"/>
        <v>2056</v>
      </c>
      <c r="O1023" s="80">
        <f t="shared" si="1693"/>
        <v>2269</v>
      </c>
      <c r="P1023" s="81"/>
      <c r="Q1023" s="81"/>
      <c r="R1023" s="81"/>
      <c r="S1023" s="81"/>
      <c r="T1023" s="81"/>
      <c r="U1023" s="81"/>
      <c r="V1023" s="81"/>
      <c r="W1023" s="81"/>
      <c r="X1023" s="81"/>
      <c r="Y1023" s="81"/>
      <c r="Z1023" s="81"/>
      <c r="AA1023" s="81"/>
      <c r="AB1023" s="81"/>
      <c r="AC1023" s="81"/>
      <c r="AD1023" s="81"/>
      <c r="AE1023" s="81"/>
      <c r="AF1023" s="81"/>
    </row>
    <row r="1024" spans="1:32">
      <c r="A1024" s="76" t="s">
        <v>1758</v>
      </c>
      <c r="B1024" s="79">
        <f>B1017*2*0.9</f>
        <v>55890</v>
      </c>
      <c r="C1024" s="79">
        <f t="shared" ref="C1024:I1024" si="1699">C1017*2*0.9</f>
        <v>63810</v>
      </c>
      <c r="D1024" s="79">
        <f t="shared" si="1699"/>
        <v>71820</v>
      </c>
      <c r="E1024" s="79">
        <f t="shared" si="1699"/>
        <v>79740</v>
      </c>
      <c r="F1024" s="79">
        <f t="shared" si="1699"/>
        <v>86130</v>
      </c>
      <c r="G1024" s="79">
        <f t="shared" si="1699"/>
        <v>92520</v>
      </c>
      <c r="H1024" s="79">
        <f t="shared" si="1699"/>
        <v>98910</v>
      </c>
      <c r="I1024" s="79">
        <f t="shared" si="1699"/>
        <v>105300</v>
      </c>
      <c r="J1024" s="80">
        <f t="shared" si="1688"/>
        <v>1397</v>
      </c>
      <c r="K1024" s="80">
        <f t="shared" si="1689"/>
        <v>1496</v>
      </c>
      <c r="L1024" s="80">
        <f t="shared" si="1690"/>
        <v>1795</v>
      </c>
      <c r="M1024" s="80">
        <f t="shared" si="1691"/>
        <v>2073</v>
      </c>
      <c r="N1024" s="80">
        <f t="shared" si="1692"/>
        <v>2313</v>
      </c>
      <c r="O1024" s="80">
        <f t="shared" si="1693"/>
        <v>2552</v>
      </c>
      <c r="P1024" s="81"/>
      <c r="Q1024" s="81"/>
      <c r="R1024" s="81"/>
      <c r="S1024" s="81"/>
      <c r="T1024" s="81"/>
      <c r="U1024" s="81"/>
      <c r="V1024" s="81"/>
      <c r="W1024" s="81"/>
      <c r="X1024" s="81"/>
      <c r="Y1024" s="81"/>
      <c r="Z1024" s="81"/>
      <c r="AA1024" s="81"/>
      <c r="AB1024" s="81"/>
      <c r="AC1024" s="81"/>
      <c r="AD1024" s="81"/>
      <c r="AE1024" s="81"/>
      <c r="AF1024" s="81"/>
    </row>
    <row r="1025" spans="1:32">
      <c r="A1025" s="76" t="s">
        <v>1759</v>
      </c>
      <c r="B1025" s="79">
        <f>B1017*2</f>
        <v>62100</v>
      </c>
      <c r="C1025" s="79">
        <f t="shared" ref="C1025:I1025" si="1700">C1017*2</f>
        <v>70900</v>
      </c>
      <c r="D1025" s="79">
        <f t="shared" si="1700"/>
        <v>79800</v>
      </c>
      <c r="E1025" s="79">
        <f t="shared" si="1700"/>
        <v>88600</v>
      </c>
      <c r="F1025" s="79">
        <f t="shared" si="1700"/>
        <v>95700</v>
      </c>
      <c r="G1025" s="79">
        <f t="shared" si="1700"/>
        <v>102800</v>
      </c>
      <c r="H1025" s="79">
        <f t="shared" si="1700"/>
        <v>109900</v>
      </c>
      <c r="I1025" s="79">
        <f t="shared" si="1700"/>
        <v>117000</v>
      </c>
      <c r="J1025" s="80">
        <f>J1017*2</f>
        <v>1552</v>
      </c>
      <c r="K1025" s="80">
        <f t="shared" ref="K1025:O1025" si="1701">K1017*2</f>
        <v>1662</v>
      </c>
      <c r="L1025" s="80">
        <f t="shared" si="1701"/>
        <v>1994</v>
      </c>
      <c r="M1025" s="80">
        <f t="shared" si="1701"/>
        <v>2302</v>
      </c>
      <c r="N1025" s="80">
        <f t="shared" si="1701"/>
        <v>2570</v>
      </c>
      <c r="O1025" s="80">
        <f t="shared" si="1701"/>
        <v>2836</v>
      </c>
      <c r="P1025" s="81"/>
      <c r="Q1025" s="81"/>
      <c r="R1025" s="81"/>
      <c r="S1025" s="81"/>
      <c r="T1025" s="81"/>
      <c r="U1025" s="81"/>
      <c r="V1025" s="81"/>
      <c r="W1025" s="81"/>
      <c r="X1025" s="81"/>
      <c r="Y1025" s="81"/>
      <c r="Z1025" s="81"/>
      <c r="AA1025" s="81"/>
      <c r="AB1025" s="81"/>
      <c r="AC1025" s="81"/>
      <c r="AD1025" s="81"/>
      <c r="AE1025" s="81"/>
      <c r="AF1025" s="81"/>
    </row>
    <row r="1026" spans="1:32">
      <c r="A1026" s="76" t="s">
        <v>1760</v>
      </c>
      <c r="B1026" s="79">
        <f>B1017*2*1.1</f>
        <v>68310</v>
      </c>
      <c r="C1026" s="79">
        <f t="shared" ref="C1026:I1026" si="1702">C1017*2*1.1</f>
        <v>77990</v>
      </c>
      <c r="D1026" s="79">
        <f t="shared" si="1702"/>
        <v>87780</v>
      </c>
      <c r="E1026" s="79">
        <f t="shared" si="1702"/>
        <v>97460.000000000015</v>
      </c>
      <c r="F1026" s="79">
        <f t="shared" si="1702"/>
        <v>105270.00000000001</v>
      </c>
      <c r="G1026" s="79">
        <f t="shared" si="1702"/>
        <v>113080.00000000001</v>
      </c>
      <c r="H1026" s="79">
        <f t="shared" si="1702"/>
        <v>120890.00000000001</v>
      </c>
      <c r="I1026" s="79">
        <f t="shared" si="1702"/>
        <v>128700.00000000001</v>
      </c>
      <c r="J1026" s="80">
        <f t="shared" ref="J1026:J1034" si="1703">TRUNC(B1026/12*0.3)</f>
        <v>1707</v>
      </c>
      <c r="K1026" s="80">
        <f t="shared" ref="K1026:K1034" si="1704">TRUNC((B1026+C1026)/2/12*0.3)</f>
        <v>1828</v>
      </c>
      <c r="L1026" s="80">
        <f t="shared" ref="L1026:L1034" si="1705">TRUNC((D1026)/12*0.3)</f>
        <v>2194</v>
      </c>
      <c r="M1026" s="80">
        <f t="shared" ref="M1026:M1034" si="1706">TRUNC(((E1026+F1026)/2)/12*0.3)</f>
        <v>2534</v>
      </c>
      <c r="N1026" s="80">
        <f t="shared" ref="N1026:N1034" si="1707">TRUNC(G1026/12*0.3)</f>
        <v>2827</v>
      </c>
      <c r="O1026" s="80">
        <f t="shared" ref="O1026:O1034" si="1708">TRUNC(((H1026+I1026)/2)/12*0.3)</f>
        <v>3119</v>
      </c>
      <c r="P1026" s="81"/>
      <c r="Q1026" s="81"/>
      <c r="R1026" s="81"/>
      <c r="S1026" s="81"/>
      <c r="T1026" s="81"/>
      <c r="U1026" s="81"/>
      <c r="V1026" s="81"/>
      <c r="W1026" s="81"/>
      <c r="X1026" s="81"/>
      <c r="Y1026" s="81"/>
      <c r="Z1026" s="81"/>
      <c r="AA1026" s="81"/>
      <c r="AB1026" s="81"/>
      <c r="AC1026" s="81"/>
      <c r="AD1026" s="81"/>
      <c r="AE1026" s="81"/>
      <c r="AF1026" s="81"/>
    </row>
    <row r="1027" spans="1:32">
      <c r="A1027" s="76" t="s">
        <v>1761</v>
      </c>
      <c r="B1027" s="79">
        <f>B1017*2*1.2</f>
        <v>74520</v>
      </c>
      <c r="C1027" s="79">
        <f t="shared" ref="C1027:I1027" si="1709">C1017*2*1.2</f>
        <v>85080</v>
      </c>
      <c r="D1027" s="79">
        <f t="shared" si="1709"/>
        <v>95760</v>
      </c>
      <c r="E1027" s="79">
        <f t="shared" si="1709"/>
        <v>106320</v>
      </c>
      <c r="F1027" s="79">
        <f t="shared" si="1709"/>
        <v>114840</v>
      </c>
      <c r="G1027" s="79">
        <f t="shared" si="1709"/>
        <v>123360</v>
      </c>
      <c r="H1027" s="79">
        <f t="shared" si="1709"/>
        <v>131880</v>
      </c>
      <c r="I1027" s="79">
        <f t="shared" si="1709"/>
        <v>140400</v>
      </c>
      <c r="J1027" s="80">
        <f t="shared" si="1703"/>
        <v>1863</v>
      </c>
      <c r="K1027" s="80">
        <f t="shared" si="1704"/>
        <v>1995</v>
      </c>
      <c r="L1027" s="80">
        <f t="shared" si="1705"/>
        <v>2394</v>
      </c>
      <c r="M1027" s="80">
        <f t="shared" si="1706"/>
        <v>2764</v>
      </c>
      <c r="N1027" s="80">
        <f t="shared" si="1707"/>
        <v>3084</v>
      </c>
      <c r="O1027" s="80">
        <f t="shared" si="1708"/>
        <v>3403</v>
      </c>
      <c r="P1027" s="81"/>
      <c r="Q1027" s="81"/>
      <c r="R1027" s="81"/>
      <c r="S1027" s="81"/>
      <c r="T1027" s="81"/>
      <c r="U1027" s="81"/>
      <c r="V1027" s="81"/>
      <c r="W1027" s="81"/>
      <c r="X1027" s="81"/>
      <c r="Y1027" s="81"/>
      <c r="Z1027" s="81"/>
      <c r="AA1027" s="81"/>
      <c r="AB1027" s="81"/>
      <c r="AC1027" s="81"/>
      <c r="AD1027" s="81"/>
      <c r="AE1027" s="81"/>
      <c r="AF1027" s="81"/>
    </row>
    <row r="1028" spans="1:32">
      <c r="A1028" s="76" t="s">
        <v>1762</v>
      </c>
      <c r="B1028" s="79">
        <f>B1035*2*0.15</f>
        <v>7320</v>
      </c>
      <c r="C1028" s="79">
        <f>C1035*2*0.15</f>
        <v>8370</v>
      </c>
      <c r="D1028" s="79">
        <f>D1035*2*0.15</f>
        <v>9420</v>
      </c>
      <c r="E1028" s="79">
        <f>E1035*2*0.15</f>
        <v>10455</v>
      </c>
      <c r="F1028" s="79">
        <f>F1035*2*0.15</f>
        <v>11295</v>
      </c>
      <c r="G1028" s="79">
        <f t="shared" ref="G1028:I1028" si="1710">G1035*2*0.15</f>
        <v>12135</v>
      </c>
      <c r="H1028" s="79">
        <f t="shared" si="1710"/>
        <v>12975</v>
      </c>
      <c r="I1028" s="79">
        <f t="shared" si="1710"/>
        <v>13815</v>
      </c>
      <c r="J1028" s="80">
        <f t="shared" si="1703"/>
        <v>183</v>
      </c>
      <c r="K1028" s="80">
        <f t="shared" si="1704"/>
        <v>196</v>
      </c>
      <c r="L1028" s="80">
        <f t="shared" si="1705"/>
        <v>235</v>
      </c>
      <c r="M1028" s="80">
        <f t="shared" si="1706"/>
        <v>271</v>
      </c>
      <c r="N1028" s="80">
        <f t="shared" si="1707"/>
        <v>303</v>
      </c>
      <c r="O1028" s="80">
        <f t="shared" si="1708"/>
        <v>334</v>
      </c>
      <c r="P1028" s="81"/>
      <c r="Q1028" s="81"/>
      <c r="R1028" s="81"/>
      <c r="S1028" s="81"/>
      <c r="T1028" s="81"/>
      <c r="U1028" s="81"/>
      <c r="V1028" s="81"/>
      <c r="W1028" s="81"/>
      <c r="X1028" s="81"/>
      <c r="Y1028" s="81"/>
      <c r="Z1028" s="81"/>
      <c r="AA1028" s="81"/>
      <c r="AB1028" s="81"/>
      <c r="AC1028" s="81"/>
      <c r="AD1028" s="81"/>
      <c r="AE1028" s="81"/>
      <c r="AF1028" s="81"/>
    </row>
    <row r="1029" spans="1:32">
      <c r="A1029" s="76" t="s">
        <v>1763</v>
      </c>
      <c r="B1029" s="79">
        <f>B1035*2*0.2</f>
        <v>9760</v>
      </c>
      <c r="C1029" s="79">
        <f t="shared" ref="C1029:I1029" si="1711">C1035*2*0.2</f>
        <v>11160</v>
      </c>
      <c r="D1029" s="79">
        <f t="shared" si="1711"/>
        <v>12560</v>
      </c>
      <c r="E1029" s="79">
        <f t="shared" si="1711"/>
        <v>13940</v>
      </c>
      <c r="F1029" s="79">
        <f t="shared" si="1711"/>
        <v>15060</v>
      </c>
      <c r="G1029" s="79">
        <f t="shared" si="1711"/>
        <v>16180</v>
      </c>
      <c r="H1029" s="79">
        <f t="shared" si="1711"/>
        <v>17300</v>
      </c>
      <c r="I1029" s="79">
        <f t="shared" si="1711"/>
        <v>18420</v>
      </c>
      <c r="J1029" s="80">
        <f t="shared" si="1703"/>
        <v>244</v>
      </c>
      <c r="K1029" s="80">
        <f t="shared" si="1704"/>
        <v>261</v>
      </c>
      <c r="L1029" s="80">
        <f t="shared" si="1705"/>
        <v>314</v>
      </c>
      <c r="M1029" s="80">
        <f t="shared" si="1706"/>
        <v>362</v>
      </c>
      <c r="N1029" s="80">
        <f t="shared" si="1707"/>
        <v>404</v>
      </c>
      <c r="O1029" s="80">
        <f t="shared" si="1708"/>
        <v>446</v>
      </c>
      <c r="P1029" s="81"/>
      <c r="Q1029" s="81"/>
      <c r="R1029" s="81"/>
      <c r="S1029" s="81"/>
      <c r="T1029" s="81"/>
      <c r="U1029" s="81"/>
      <c r="V1029" s="81"/>
      <c r="W1029" s="81"/>
      <c r="X1029" s="81"/>
      <c r="Y1029" s="81"/>
      <c r="Z1029" s="81"/>
      <c r="AA1029" s="81"/>
      <c r="AB1029" s="81"/>
      <c r="AC1029" s="81"/>
      <c r="AD1029" s="81"/>
      <c r="AE1029" s="81"/>
      <c r="AF1029" s="81"/>
    </row>
    <row r="1030" spans="1:32">
      <c r="A1030" s="76" t="s">
        <v>1764</v>
      </c>
      <c r="B1030" s="79">
        <f>B1035*2*0.25</f>
        <v>12200</v>
      </c>
      <c r="C1030" s="79">
        <f t="shared" ref="C1030:I1030" si="1712">C1035*2*0.25</f>
        <v>13950</v>
      </c>
      <c r="D1030" s="79">
        <f t="shared" si="1712"/>
        <v>15700</v>
      </c>
      <c r="E1030" s="79">
        <f t="shared" si="1712"/>
        <v>17425</v>
      </c>
      <c r="F1030" s="79">
        <f t="shared" si="1712"/>
        <v>18825</v>
      </c>
      <c r="G1030" s="79">
        <f t="shared" si="1712"/>
        <v>20225</v>
      </c>
      <c r="H1030" s="79">
        <f t="shared" si="1712"/>
        <v>21625</v>
      </c>
      <c r="I1030" s="79">
        <f t="shared" si="1712"/>
        <v>23025</v>
      </c>
      <c r="J1030" s="80">
        <f t="shared" si="1703"/>
        <v>305</v>
      </c>
      <c r="K1030" s="80">
        <f t="shared" si="1704"/>
        <v>326</v>
      </c>
      <c r="L1030" s="80">
        <f t="shared" si="1705"/>
        <v>392</v>
      </c>
      <c r="M1030" s="80">
        <f t="shared" si="1706"/>
        <v>453</v>
      </c>
      <c r="N1030" s="80">
        <f t="shared" si="1707"/>
        <v>505</v>
      </c>
      <c r="O1030" s="80">
        <f t="shared" si="1708"/>
        <v>558</v>
      </c>
      <c r="P1030" s="81"/>
      <c r="Q1030" s="81"/>
      <c r="R1030" s="81"/>
      <c r="S1030" s="81"/>
      <c r="T1030" s="81"/>
      <c r="U1030" s="81"/>
      <c r="V1030" s="81"/>
      <c r="W1030" s="81"/>
      <c r="X1030" s="81"/>
      <c r="Y1030" s="81"/>
      <c r="Z1030" s="81"/>
      <c r="AA1030" s="81"/>
      <c r="AB1030" s="81"/>
      <c r="AC1030" s="81"/>
      <c r="AD1030" s="81"/>
      <c r="AE1030" s="81"/>
      <c r="AF1030" s="81"/>
    </row>
    <row r="1031" spans="1:32">
      <c r="A1031" s="76" t="s">
        <v>1765</v>
      </c>
      <c r="B1031" s="79">
        <f>B1035*2*0.3</f>
        <v>14640</v>
      </c>
      <c r="C1031" s="79">
        <f t="shared" ref="C1031:I1031" si="1713">C1035*2*0.3</f>
        <v>16740</v>
      </c>
      <c r="D1031" s="79">
        <f t="shared" si="1713"/>
        <v>18840</v>
      </c>
      <c r="E1031" s="79">
        <f t="shared" si="1713"/>
        <v>20910</v>
      </c>
      <c r="F1031" s="79">
        <f t="shared" si="1713"/>
        <v>22590</v>
      </c>
      <c r="G1031" s="79">
        <f t="shared" si="1713"/>
        <v>24270</v>
      </c>
      <c r="H1031" s="79">
        <f t="shared" si="1713"/>
        <v>25950</v>
      </c>
      <c r="I1031" s="79">
        <f t="shared" si="1713"/>
        <v>27630</v>
      </c>
      <c r="J1031" s="80">
        <f t="shared" si="1703"/>
        <v>366</v>
      </c>
      <c r="K1031" s="80">
        <f t="shared" si="1704"/>
        <v>392</v>
      </c>
      <c r="L1031" s="80">
        <f t="shared" si="1705"/>
        <v>471</v>
      </c>
      <c r="M1031" s="80">
        <f t="shared" si="1706"/>
        <v>543</v>
      </c>
      <c r="N1031" s="80">
        <f t="shared" si="1707"/>
        <v>606</v>
      </c>
      <c r="O1031" s="80">
        <f t="shared" si="1708"/>
        <v>669</v>
      </c>
      <c r="P1031" s="81"/>
      <c r="Q1031" s="81"/>
      <c r="R1031" s="81"/>
      <c r="S1031" s="81"/>
      <c r="T1031" s="81"/>
      <c r="U1031" s="81"/>
      <c r="V1031" s="81"/>
      <c r="W1031" s="81"/>
      <c r="X1031" s="81"/>
      <c r="Y1031" s="81"/>
      <c r="Z1031" s="81"/>
      <c r="AA1031" s="81"/>
      <c r="AB1031" s="81"/>
      <c r="AC1031" s="81"/>
      <c r="AD1031" s="81"/>
      <c r="AE1031" s="81"/>
      <c r="AF1031" s="81"/>
    </row>
    <row r="1032" spans="1:32">
      <c r="A1032" s="76" t="s">
        <v>1766</v>
      </c>
      <c r="B1032" s="79">
        <f>B1035*2*0.35</f>
        <v>17080</v>
      </c>
      <c r="C1032" s="79">
        <f t="shared" ref="C1032:I1032" si="1714">C1035*2*0.35</f>
        <v>19530</v>
      </c>
      <c r="D1032" s="79">
        <f t="shared" si="1714"/>
        <v>21980</v>
      </c>
      <c r="E1032" s="79">
        <f t="shared" si="1714"/>
        <v>24395</v>
      </c>
      <c r="F1032" s="79">
        <f t="shared" si="1714"/>
        <v>26355</v>
      </c>
      <c r="G1032" s="79">
        <f t="shared" si="1714"/>
        <v>28315</v>
      </c>
      <c r="H1032" s="79">
        <f t="shared" si="1714"/>
        <v>30274.999999999996</v>
      </c>
      <c r="I1032" s="79">
        <f t="shared" si="1714"/>
        <v>32234.999999999996</v>
      </c>
      <c r="J1032" s="80">
        <f t="shared" si="1703"/>
        <v>427</v>
      </c>
      <c r="K1032" s="80">
        <f t="shared" si="1704"/>
        <v>457</v>
      </c>
      <c r="L1032" s="80">
        <f t="shared" si="1705"/>
        <v>549</v>
      </c>
      <c r="M1032" s="80">
        <f t="shared" si="1706"/>
        <v>634</v>
      </c>
      <c r="N1032" s="80">
        <f t="shared" si="1707"/>
        <v>707</v>
      </c>
      <c r="O1032" s="80">
        <f t="shared" si="1708"/>
        <v>781</v>
      </c>
      <c r="P1032" s="81"/>
      <c r="Q1032" s="81"/>
      <c r="R1032" s="81"/>
      <c r="S1032" s="81"/>
      <c r="T1032" s="81"/>
      <c r="U1032" s="81"/>
      <c r="V1032" s="81"/>
      <c r="W1032" s="81"/>
      <c r="X1032" s="81"/>
      <c r="Y1032" s="81"/>
      <c r="Z1032" s="81"/>
      <c r="AA1032" s="81"/>
      <c r="AB1032" s="81"/>
      <c r="AC1032" s="81"/>
      <c r="AD1032" s="81"/>
      <c r="AE1032" s="81"/>
      <c r="AF1032" s="81"/>
    </row>
    <row r="1033" spans="1:32">
      <c r="A1033" s="76" t="s">
        <v>1767</v>
      </c>
      <c r="B1033" s="79">
        <f>B1035*2*0.4</f>
        <v>19520</v>
      </c>
      <c r="C1033" s="79">
        <f t="shared" ref="C1033:I1033" si="1715">C1035*2*0.4</f>
        <v>22320</v>
      </c>
      <c r="D1033" s="79">
        <f t="shared" si="1715"/>
        <v>25120</v>
      </c>
      <c r="E1033" s="79">
        <f t="shared" si="1715"/>
        <v>27880</v>
      </c>
      <c r="F1033" s="79">
        <f t="shared" si="1715"/>
        <v>30120</v>
      </c>
      <c r="G1033" s="79">
        <f t="shared" si="1715"/>
        <v>32360</v>
      </c>
      <c r="H1033" s="79">
        <f t="shared" si="1715"/>
        <v>34600</v>
      </c>
      <c r="I1033" s="79">
        <f t="shared" si="1715"/>
        <v>36840</v>
      </c>
      <c r="J1033" s="80">
        <f t="shared" si="1703"/>
        <v>488</v>
      </c>
      <c r="K1033" s="80">
        <f t="shared" si="1704"/>
        <v>523</v>
      </c>
      <c r="L1033" s="80">
        <f t="shared" si="1705"/>
        <v>628</v>
      </c>
      <c r="M1033" s="80">
        <f t="shared" si="1706"/>
        <v>725</v>
      </c>
      <c r="N1033" s="80">
        <f t="shared" si="1707"/>
        <v>809</v>
      </c>
      <c r="O1033" s="80">
        <f t="shared" si="1708"/>
        <v>893</v>
      </c>
      <c r="P1033" s="81"/>
      <c r="Q1033" s="81"/>
      <c r="R1033" s="81"/>
      <c r="S1033" s="81"/>
      <c r="T1033" s="81"/>
      <c r="U1033" s="81"/>
      <c r="V1033" s="81"/>
      <c r="W1033" s="81"/>
      <c r="X1033" s="81"/>
      <c r="Y1033" s="81"/>
      <c r="Z1033" s="81"/>
      <c r="AA1033" s="81"/>
      <c r="AB1033" s="81"/>
      <c r="AC1033" s="81"/>
      <c r="AD1033" s="81"/>
      <c r="AE1033" s="81"/>
      <c r="AF1033" s="81"/>
    </row>
    <row r="1034" spans="1:32">
      <c r="A1034" s="76" t="s">
        <v>1768</v>
      </c>
      <c r="B1034" s="79">
        <f>B1035*2*0.45</f>
        <v>21960</v>
      </c>
      <c r="C1034" s="79">
        <f t="shared" ref="C1034:I1034" si="1716">C1035*2*0.45</f>
        <v>25110</v>
      </c>
      <c r="D1034" s="79">
        <f t="shared" si="1716"/>
        <v>28260</v>
      </c>
      <c r="E1034" s="79">
        <f t="shared" si="1716"/>
        <v>31365</v>
      </c>
      <c r="F1034" s="79">
        <f t="shared" si="1716"/>
        <v>33885</v>
      </c>
      <c r="G1034" s="79">
        <f t="shared" si="1716"/>
        <v>36405</v>
      </c>
      <c r="H1034" s="79">
        <f t="shared" si="1716"/>
        <v>38925</v>
      </c>
      <c r="I1034" s="79">
        <f t="shared" si="1716"/>
        <v>41445</v>
      </c>
      <c r="J1034" s="80">
        <f t="shared" si="1703"/>
        <v>549</v>
      </c>
      <c r="K1034" s="80">
        <f t="shared" si="1704"/>
        <v>588</v>
      </c>
      <c r="L1034" s="80">
        <f t="shared" si="1705"/>
        <v>706</v>
      </c>
      <c r="M1034" s="80">
        <f t="shared" si="1706"/>
        <v>815</v>
      </c>
      <c r="N1034" s="80">
        <f t="shared" si="1707"/>
        <v>910</v>
      </c>
      <c r="O1034" s="80">
        <f t="shared" si="1708"/>
        <v>1004</v>
      </c>
      <c r="P1034" s="81"/>
      <c r="Q1034" s="81"/>
      <c r="R1034" s="81"/>
      <c r="S1034" s="81"/>
      <c r="T1034" s="81"/>
      <c r="U1034" s="81"/>
      <c r="V1034" s="81"/>
      <c r="W1034" s="81"/>
      <c r="X1034" s="81"/>
      <c r="Y1034" s="81"/>
      <c r="Z1034" s="81"/>
      <c r="AA1034" s="81"/>
      <c r="AB1034" s="81"/>
      <c r="AC1034" s="81"/>
      <c r="AD1034" s="81"/>
      <c r="AE1034" s="81"/>
      <c r="AF1034" s="81"/>
    </row>
    <row r="1035" spans="1:32">
      <c r="A1035" s="82" t="s">
        <v>1769</v>
      </c>
      <c r="B1035" s="84">
        <f>'MTSP 50% Income Limits '!B59</f>
        <v>24400</v>
      </c>
      <c r="C1035" s="84">
        <f>'MTSP 50% Income Limits '!C59</f>
        <v>27900</v>
      </c>
      <c r="D1035" s="84">
        <f>'MTSP 50% Income Limits '!D59</f>
        <v>31400</v>
      </c>
      <c r="E1035" s="84">
        <f>'MTSP 50% Income Limits '!E59</f>
        <v>34850</v>
      </c>
      <c r="F1035" s="84">
        <f>'MTSP 50% Income Limits '!F59</f>
        <v>37650</v>
      </c>
      <c r="G1035" s="84">
        <f>'MTSP 50% Income Limits '!G59</f>
        <v>40450</v>
      </c>
      <c r="H1035" s="84">
        <f>'MTSP 50% Income Limits '!H59</f>
        <v>43250</v>
      </c>
      <c r="I1035" s="84">
        <f>'MTSP 50% Income Limits '!I59</f>
        <v>46050</v>
      </c>
      <c r="J1035" s="83">
        <f>TRUNC(B1035/12*0.3)</f>
        <v>610</v>
      </c>
      <c r="K1035" s="83">
        <f>TRUNC((B1035+C1035)/2/12*0.3)</f>
        <v>653</v>
      </c>
      <c r="L1035" s="83">
        <f>TRUNC((D1035)/12*0.3)</f>
        <v>785</v>
      </c>
      <c r="M1035" s="83">
        <f>TRUNC(((E1035+F1035)/2)/12*0.3)</f>
        <v>906</v>
      </c>
      <c r="N1035" s="83">
        <f>TRUNC(G1035/12*0.3)</f>
        <v>1011</v>
      </c>
      <c r="O1035" s="83">
        <f>TRUNC(((H1035+I1035)/2)/12*0.3)</f>
        <v>1116</v>
      </c>
      <c r="P1035" s="81"/>
      <c r="Q1035" s="81"/>
      <c r="R1035" s="81"/>
      <c r="S1035" s="81"/>
      <c r="T1035" s="81"/>
      <c r="U1035" s="81"/>
      <c r="V1035" s="81"/>
      <c r="W1035" s="81"/>
      <c r="X1035" s="81"/>
      <c r="Y1035" s="81"/>
      <c r="Z1035" s="81"/>
      <c r="AA1035" s="81"/>
      <c r="AB1035" s="81"/>
      <c r="AC1035" s="81"/>
      <c r="AD1035" s="81"/>
      <c r="AE1035" s="81"/>
      <c r="AF1035" s="81"/>
    </row>
    <row r="1036" spans="1:32">
      <c r="A1036" s="76" t="s">
        <v>1770</v>
      </c>
      <c r="B1036" s="79">
        <f>B1035*2*0.55</f>
        <v>26840.000000000004</v>
      </c>
      <c r="C1036" s="79">
        <f t="shared" ref="C1036:I1036" si="1717">C1035*2*0.55</f>
        <v>30690.000000000004</v>
      </c>
      <c r="D1036" s="79">
        <f t="shared" si="1717"/>
        <v>34540</v>
      </c>
      <c r="E1036" s="79">
        <f t="shared" si="1717"/>
        <v>38335</v>
      </c>
      <c r="F1036" s="79">
        <f t="shared" si="1717"/>
        <v>41415</v>
      </c>
      <c r="G1036" s="79">
        <f t="shared" si="1717"/>
        <v>44495</v>
      </c>
      <c r="H1036" s="79">
        <f t="shared" si="1717"/>
        <v>47575.000000000007</v>
      </c>
      <c r="I1036" s="79">
        <f t="shared" si="1717"/>
        <v>50655.000000000007</v>
      </c>
      <c r="J1036" s="80">
        <f t="shared" ref="J1036:J1042" si="1718">TRUNC(B1036/12*0.3)</f>
        <v>671</v>
      </c>
      <c r="K1036" s="80">
        <f t="shared" ref="K1036:K1042" si="1719">TRUNC((B1036+C1036)/2/12*0.3)</f>
        <v>719</v>
      </c>
      <c r="L1036" s="80">
        <f t="shared" ref="L1036:L1042" si="1720">TRUNC((D1036)/12*0.3)</f>
        <v>863</v>
      </c>
      <c r="M1036" s="80">
        <f t="shared" ref="M1036:M1042" si="1721">TRUNC(((E1036+F1036)/2)/12*0.3)</f>
        <v>996</v>
      </c>
      <c r="N1036" s="80">
        <f t="shared" ref="N1036:N1042" si="1722">TRUNC(G1036/12*0.3)</f>
        <v>1112</v>
      </c>
      <c r="O1036" s="80">
        <f t="shared" ref="O1036:O1042" si="1723">TRUNC(((H1036+I1036)/2)/12*0.3)</f>
        <v>1227</v>
      </c>
      <c r="P1036" s="81"/>
      <c r="Q1036" s="81"/>
      <c r="R1036" s="81"/>
      <c r="S1036" s="81"/>
      <c r="T1036" s="81"/>
      <c r="U1036" s="81"/>
      <c r="V1036" s="81"/>
      <c r="W1036" s="81"/>
      <c r="X1036" s="81"/>
      <c r="Y1036" s="81"/>
      <c r="Z1036" s="81"/>
      <c r="AA1036" s="81"/>
      <c r="AB1036" s="81"/>
      <c r="AC1036" s="81"/>
      <c r="AD1036" s="81"/>
      <c r="AE1036" s="81"/>
      <c r="AF1036" s="81"/>
    </row>
    <row r="1037" spans="1:32">
      <c r="A1037" s="76" t="s">
        <v>1771</v>
      </c>
      <c r="B1037" s="79">
        <f>B1035*2*0.6</f>
        <v>29280</v>
      </c>
      <c r="C1037" s="79">
        <f t="shared" ref="C1037:I1037" si="1724">C1035*2*0.6</f>
        <v>33480</v>
      </c>
      <c r="D1037" s="79">
        <f t="shared" si="1724"/>
        <v>37680</v>
      </c>
      <c r="E1037" s="79">
        <f t="shared" si="1724"/>
        <v>41820</v>
      </c>
      <c r="F1037" s="79">
        <f t="shared" si="1724"/>
        <v>45180</v>
      </c>
      <c r="G1037" s="79">
        <f t="shared" si="1724"/>
        <v>48540</v>
      </c>
      <c r="H1037" s="79">
        <f t="shared" si="1724"/>
        <v>51900</v>
      </c>
      <c r="I1037" s="79">
        <f t="shared" si="1724"/>
        <v>55260</v>
      </c>
      <c r="J1037" s="80">
        <f t="shared" si="1718"/>
        <v>732</v>
      </c>
      <c r="K1037" s="80">
        <f t="shared" si="1719"/>
        <v>784</v>
      </c>
      <c r="L1037" s="80">
        <f t="shared" si="1720"/>
        <v>942</v>
      </c>
      <c r="M1037" s="80">
        <f t="shared" si="1721"/>
        <v>1087</v>
      </c>
      <c r="N1037" s="80">
        <f t="shared" si="1722"/>
        <v>1213</v>
      </c>
      <c r="O1037" s="80">
        <f t="shared" si="1723"/>
        <v>1339</v>
      </c>
      <c r="P1037" s="81"/>
      <c r="Q1037" s="81"/>
      <c r="R1037" s="81"/>
      <c r="S1037" s="81"/>
      <c r="T1037" s="81"/>
      <c r="U1037" s="81"/>
      <c r="V1037" s="81"/>
      <c r="W1037" s="81"/>
      <c r="X1037" s="81"/>
      <c r="Y1037" s="81"/>
      <c r="Z1037" s="81"/>
      <c r="AA1037" s="81"/>
      <c r="AB1037" s="81"/>
      <c r="AC1037" s="81"/>
      <c r="AD1037" s="81"/>
      <c r="AE1037" s="81"/>
      <c r="AF1037" s="81"/>
    </row>
    <row r="1038" spans="1:32">
      <c r="A1038" s="76" t="s">
        <v>1772</v>
      </c>
      <c r="B1038" s="79">
        <f>B1035*2*0.65</f>
        <v>31720</v>
      </c>
      <c r="C1038" s="79">
        <f t="shared" ref="C1038:I1038" si="1725">C1035*2*0.65</f>
        <v>36270</v>
      </c>
      <c r="D1038" s="79">
        <f t="shared" si="1725"/>
        <v>40820</v>
      </c>
      <c r="E1038" s="79">
        <f t="shared" si="1725"/>
        <v>45305</v>
      </c>
      <c r="F1038" s="79">
        <f t="shared" si="1725"/>
        <v>48945</v>
      </c>
      <c r="G1038" s="79">
        <f t="shared" si="1725"/>
        <v>52585</v>
      </c>
      <c r="H1038" s="79">
        <f t="shared" si="1725"/>
        <v>56225</v>
      </c>
      <c r="I1038" s="79">
        <f t="shared" si="1725"/>
        <v>59865</v>
      </c>
      <c r="J1038" s="80">
        <f t="shared" si="1718"/>
        <v>793</v>
      </c>
      <c r="K1038" s="80">
        <f t="shared" si="1719"/>
        <v>849</v>
      </c>
      <c r="L1038" s="80">
        <f t="shared" si="1720"/>
        <v>1020</v>
      </c>
      <c r="M1038" s="80">
        <f t="shared" si="1721"/>
        <v>1178</v>
      </c>
      <c r="N1038" s="80">
        <f t="shared" si="1722"/>
        <v>1314</v>
      </c>
      <c r="O1038" s="80">
        <f t="shared" si="1723"/>
        <v>1451</v>
      </c>
      <c r="P1038" s="81"/>
      <c r="Q1038" s="81"/>
      <c r="R1038" s="81"/>
      <c r="S1038" s="81"/>
      <c r="T1038" s="81"/>
      <c r="U1038" s="81"/>
      <c r="V1038" s="81"/>
      <c r="W1038" s="81"/>
      <c r="X1038" s="81"/>
      <c r="Y1038" s="81"/>
      <c r="Z1038" s="81"/>
      <c r="AA1038" s="81"/>
      <c r="AB1038" s="81"/>
      <c r="AC1038" s="81"/>
      <c r="AD1038" s="81"/>
      <c r="AE1038" s="81"/>
      <c r="AF1038" s="81"/>
    </row>
    <row r="1039" spans="1:32">
      <c r="A1039" s="76" t="s">
        <v>1773</v>
      </c>
      <c r="B1039" s="79">
        <f>B1035*2*0.7</f>
        <v>34160</v>
      </c>
      <c r="C1039" s="79">
        <f t="shared" ref="C1039:I1039" si="1726">C1035*2*0.7</f>
        <v>39060</v>
      </c>
      <c r="D1039" s="79">
        <f t="shared" si="1726"/>
        <v>43960</v>
      </c>
      <c r="E1039" s="79">
        <f t="shared" si="1726"/>
        <v>48790</v>
      </c>
      <c r="F1039" s="79">
        <f t="shared" si="1726"/>
        <v>52710</v>
      </c>
      <c r="G1039" s="79">
        <f t="shared" si="1726"/>
        <v>56630</v>
      </c>
      <c r="H1039" s="79">
        <f t="shared" si="1726"/>
        <v>60549.999999999993</v>
      </c>
      <c r="I1039" s="79">
        <f t="shared" si="1726"/>
        <v>64469.999999999993</v>
      </c>
      <c r="J1039" s="80">
        <f t="shared" si="1718"/>
        <v>854</v>
      </c>
      <c r="K1039" s="80">
        <f t="shared" si="1719"/>
        <v>915</v>
      </c>
      <c r="L1039" s="80">
        <f t="shared" si="1720"/>
        <v>1099</v>
      </c>
      <c r="M1039" s="80">
        <f t="shared" si="1721"/>
        <v>1268</v>
      </c>
      <c r="N1039" s="80">
        <f t="shared" si="1722"/>
        <v>1415</v>
      </c>
      <c r="O1039" s="80">
        <f t="shared" si="1723"/>
        <v>1562</v>
      </c>
      <c r="P1039" s="81"/>
      <c r="Q1039" s="81"/>
      <c r="R1039" s="81"/>
      <c r="S1039" s="81"/>
      <c r="T1039" s="81"/>
      <c r="U1039" s="81"/>
      <c r="V1039" s="81"/>
      <c r="W1039" s="81"/>
      <c r="X1039" s="81"/>
      <c r="Y1039" s="81"/>
      <c r="Z1039" s="81"/>
      <c r="AA1039" s="81"/>
      <c r="AB1039" s="81"/>
      <c r="AC1039" s="81"/>
      <c r="AD1039" s="81"/>
      <c r="AE1039" s="81"/>
      <c r="AF1039" s="81"/>
    </row>
    <row r="1040" spans="1:32">
      <c r="A1040" s="76" t="s">
        <v>1774</v>
      </c>
      <c r="B1040" s="79">
        <f>B1035*2*0.75</f>
        <v>36600</v>
      </c>
      <c r="C1040" s="79">
        <f t="shared" ref="C1040:I1040" si="1727">C1035*2*0.75</f>
        <v>41850</v>
      </c>
      <c r="D1040" s="79">
        <f t="shared" si="1727"/>
        <v>47100</v>
      </c>
      <c r="E1040" s="79">
        <f t="shared" si="1727"/>
        <v>52275</v>
      </c>
      <c r="F1040" s="79">
        <f t="shared" si="1727"/>
        <v>56475</v>
      </c>
      <c r="G1040" s="79">
        <f t="shared" si="1727"/>
        <v>60675</v>
      </c>
      <c r="H1040" s="79">
        <f t="shared" si="1727"/>
        <v>64875</v>
      </c>
      <c r="I1040" s="79">
        <f t="shared" si="1727"/>
        <v>69075</v>
      </c>
      <c r="J1040" s="80">
        <f t="shared" si="1718"/>
        <v>915</v>
      </c>
      <c r="K1040" s="80">
        <f t="shared" si="1719"/>
        <v>980</v>
      </c>
      <c r="L1040" s="80">
        <f t="shared" si="1720"/>
        <v>1177</v>
      </c>
      <c r="M1040" s="80">
        <f t="shared" si="1721"/>
        <v>1359</v>
      </c>
      <c r="N1040" s="80">
        <f t="shared" si="1722"/>
        <v>1516</v>
      </c>
      <c r="O1040" s="80">
        <f t="shared" si="1723"/>
        <v>1674</v>
      </c>
      <c r="P1040" s="81"/>
      <c r="Q1040" s="81"/>
      <c r="R1040" s="81"/>
      <c r="S1040" s="81"/>
      <c r="T1040" s="81"/>
      <c r="U1040" s="81"/>
      <c r="V1040" s="81"/>
      <c r="W1040" s="81"/>
      <c r="X1040" s="81"/>
      <c r="Y1040" s="81"/>
      <c r="Z1040" s="81"/>
      <c r="AA1040" s="81"/>
      <c r="AB1040" s="81"/>
      <c r="AC1040" s="81"/>
      <c r="AD1040" s="81"/>
      <c r="AE1040" s="81"/>
      <c r="AF1040" s="81"/>
    </row>
    <row r="1041" spans="1:32">
      <c r="A1041" s="76" t="s">
        <v>1775</v>
      </c>
      <c r="B1041" s="79">
        <f>B1035*2*0.8</f>
        <v>39040</v>
      </c>
      <c r="C1041" s="79">
        <f t="shared" ref="C1041:I1041" si="1728">C1035*2*0.8</f>
        <v>44640</v>
      </c>
      <c r="D1041" s="79">
        <f t="shared" si="1728"/>
        <v>50240</v>
      </c>
      <c r="E1041" s="79">
        <f t="shared" si="1728"/>
        <v>55760</v>
      </c>
      <c r="F1041" s="79">
        <f t="shared" si="1728"/>
        <v>60240</v>
      </c>
      <c r="G1041" s="79">
        <f t="shared" si="1728"/>
        <v>64720</v>
      </c>
      <c r="H1041" s="79">
        <f t="shared" si="1728"/>
        <v>69200</v>
      </c>
      <c r="I1041" s="79">
        <f t="shared" si="1728"/>
        <v>73680</v>
      </c>
      <c r="J1041" s="80">
        <f t="shared" si="1718"/>
        <v>976</v>
      </c>
      <c r="K1041" s="80">
        <f t="shared" si="1719"/>
        <v>1046</v>
      </c>
      <c r="L1041" s="80">
        <f t="shared" si="1720"/>
        <v>1256</v>
      </c>
      <c r="M1041" s="80">
        <f t="shared" si="1721"/>
        <v>1450</v>
      </c>
      <c r="N1041" s="80">
        <f t="shared" si="1722"/>
        <v>1618</v>
      </c>
      <c r="O1041" s="80">
        <f t="shared" si="1723"/>
        <v>1786</v>
      </c>
      <c r="P1041" s="81"/>
      <c r="Q1041" s="81"/>
      <c r="R1041" s="81"/>
      <c r="S1041" s="81"/>
      <c r="T1041" s="81"/>
      <c r="U1041" s="81"/>
      <c r="V1041" s="81"/>
      <c r="W1041" s="81"/>
      <c r="X1041" s="81"/>
      <c r="Y1041" s="81"/>
      <c r="Z1041" s="81"/>
      <c r="AA1041" s="81"/>
      <c r="AB1041" s="81"/>
      <c r="AC1041" s="81"/>
      <c r="AD1041" s="81"/>
      <c r="AE1041" s="81"/>
      <c r="AF1041" s="81"/>
    </row>
    <row r="1042" spans="1:32">
      <c r="A1042" s="76" t="s">
        <v>1776</v>
      </c>
      <c r="B1042" s="79">
        <f>B1035*2*0.9</f>
        <v>43920</v>
      </c>
      <c r="C1042" s="79">
        <f t="shared" ref="C1042:I1042" si="1729">C1035*2*0.9</f>
        <v>50220</v>
      </c>
      <c r="D1042" s="79">
        <f t="shared" si="1729"/>
        <v>56520</v>
      </c>
      <c r="E1042" s="79">
        <f t="shared" si="1729"/>
        <v>62730</v>
      </c>
      <c r="F1042" s="79">
        <f t="shared" si="1729"/>
        <v>67770</v>
      </c>
      <c r="G1042" s="79">
        <f t="shared" si="1729"/>
        <v>72810</v>
      </c>
      <c r="H1042" s="79">
        <f t="shared" si="1729"/>
        <v>77850</v>
      </c>
      <c r="I1042" s="79">
        <f t="shared" si="1729"/>
        <v>82890</v>
      </c>
      <c r="J1042" s="80">
        <f t="shared" si="1718"/>
        <v>1098</v>
      </c>
      <c r="K1042" s="80">
        <f t="shared" si="1719"/>
        <v>1176</v>
      </c>
      <c r="L1042" s="80">
        <f t="shared" si="1720"/>
        <v>1413</v>
      </c>
      <c r="M1042" s="80">
        <f t="shared" si="1721"/>
        <v>1631</v>
      </c>
      <c r="N1042" s="80">
        <f t="shared" si="1722"/>
        <v>1820</v>
      </c>
      <c r="O1042" s="80">
        <f t="shared" si="1723"/>
        <v>2009</v>
      </c>
      <c r="P1042" s="81"/>
      <c r="Q1042" s="81"/>
      <c r="R1042" s="81"/>
      <c r="S1042" s="81"/>
      <c r="T1042" s="81"/>
      <c r="U1042" s="81"/>
      <c r="V1042" s="81"/>
      <c r="W1042" s="81"/>
      <c r="X1042" s="81"/>
      <c r="Y1042" s="81"/>
      <c r="Z1042" s="81"/>
      <c r="AA1042" s="81"/>
      <c r="AB1042" s="81"/>
      <c r="AC1042" s="81"/>
      <c r="AD1042" s="81"/>
      <c r="AE1042" s="81"/>
      <c r="AF1042" s="81"/>
    </row>
    <row r="1043" spans="1:32">
      <c r="A1043" s="76" t="s">
        <v>1777</v>
      </c>
      <c r="B1043" s="79">
        <f>B1035*2</f>
        <v>48800</v>
      </c>
      <c r="C1043" s="79">
        <f t="shared" ref="C1043:I1043" si="1730">C1035*2</f>
        <v>55800</v>
      </c>
      <c r="D1043" s="79">
        <f t="shared" si="1730"/>
        <v>62800</v>
      </c>
      <c r="E1043" s="79">
        <f t="shared" si="1730"/>
        <v>69700</v>
      </c>
      <c r="F1043" s="79">
        <f t="shared" si="1730"/>
        <v>75300</v>
      </c>
      <c r="G1043" s="79">
        <f t="shared" si="1730"/>
        <v>80900</v>
      </c>
      <c r="H1043" s="79">
        <f t="shared" si="1730"/>
        <v>86500</v>
      </c>
      <c r="I1043" s="79">
        <f t="shared" si="1730"/>
        <v>92100</v>
      </c>
      <c r="J1043" s="80">
        <f>J1035*2</f>
        <v>1220</v>
      </c>
      <c r="K1043" s="80">
        <f t="shared" ref="K1043:O1043" si="1731">K1035*2</f>
        <v>1306</v>
      </c>
      <c r="L1043" s="80">
        <f t="shared" si="1731"/>
        <v>1570</v>
      </c>
      <c r="M1043" s="80">
        <f t="shared" si="1731"/>
        <v>1812</v>
      </c>
      <c r="N1043" s="80">
        <f t="shared" si="1731"/>
        <v>2022</v>
      </c>
      <c r="O1043" s="80">
        <f t="shared" si="1731"/>
        <v>2232</v>
      </c>
      <c r="P1043" s="81"/>
      <c r="Q1043" s="81"/>
      <c r="R1043" s="81"/>
      <c r="S1043" s="81"/>
      <c r="T1043" s="81"/>
      <c r="U1043" s="81"/>
      <c r="V1043" s="81"/>
      <c r="W1043" s="81"/>
      <c r="X1043" s="81"/>
      <c r="Y1043" s="81"/>
      <c r="Z1043" s="81"/>
      <c r="AA1043" s="81"/>
      <c r="AB1043" s="81"/>
      <c r="AC1043" s="81"/>
      <c r="AD1043" s="81"/>
      <c r="AE1043" s="81"/>
      <c r="AF1043" s="81"/>
    </row>
    <row r="1044" spans="1:32">
      <c r="A1044" s="76" t="s">
        <v>1778</v>
      </c>
      <c r="B1044" s="79">
        <f>B1035*2*1.1</f>
        <v>53680.000000000007</v>
      </c>
      <c r="C1044" s="79">
        <f t="shared" ref="C1044:I1044" si="1732">C1035*2*1.1</f>
        <v>61380.000000000007</v>
      </c>
      <c r="D1044" s="79">
        <f t="shared" si="1732"/>
        <v>69080</v>
      </c>
      <c r="E1044" s="79">
        <f t="shared" si="1732"/>
        <v>76670</v>
      </c>
      <c r="F1044" s="79">
        <f t="shared" si="1732"/>
        <v>82830</v>
      </c>
      <c r="G1044" s="79">
        <f t="shared" si="1732"/>
        <v>88990</v>
      </c>
      <c r="H1044" s="79">
        <f t="shared" si="1732"/>
        <v>95150.000000000015</v>
      </c>
      <c r="I1044" s="79">
        <f t="shared" si="1732"/>
        <v>101310.00000000001</v>
      </c>
      <c r="J1044" s="80">
        <f t="shared" ref="J1044:J1045" si="1733">TRUNC(B1044/12*0.3)</f>
        <v>1342</v>
      </c>
      <c r="K1044" s="80">
        <f t="shared" ref="K1044:K1045" si="1734">TRUNC((B1044+C1044)/2/12*0.3)</f>
        <v>1438</v>
      </c>
      <c r="L1044" s="80">
        <f t="shared" ref="L1044:L1045" si="1735">TRUNC((D1044)/12*0.3)</f>
        <v>1727</v>
      </c>
      <c r="M1044" s="80">
        <f t="shared" ref="M1044:M1045" si="1736">TRUNC(((E1044+F1044)/2)/12*0.3)</f>
        <v>1993</v>
      </c>
      <c r="N1044" s="80">
        <f t="shared" ref="N1044:N1045" si="1737">TRUNC(G1044/12*0.3)</f>
        <v>2224</v>
      </c>
      <c r="O1044" s="80">
        <f t="shared" ref="O1044:O1045" si="1738">TRUNC(((H1044+I1044)/2)/12*0.3)</f>
        <v>2455</v>
      </c>
      <c r="P1044" s="81"/>
      <c r="Q1044" s="81"/>
      <c r="R1044" s="81"/>
      <c r="S1044" s="81"/>
      <c r="T1044" s="81"/>
      <c r="U1044" s="81"/>
      <c r="V1044" s="81"/>
      <c r="W1044" s="81"/>
      <c r="X1044" s="81"/>
      <c r="Y1044" s="81"/>
      <c r="Z1044" s="81"/>
      <c r="AA1044" s="81"/>
      <c r="AB1044" s="81"/>
      <c r="AC1044" s="81"/>
      <c r="AD1044" s="81"/>
      <c r="AE1044" s="81"/>
      <c r="AF1044" s="81"/>
    </row>
    <row r="1045" spans="1:32">
      <c r="A1045" s="76" t="s">
        <v>1779</v>
      </c>
      <c r="B1045" s="79">
        <f>B1035*2*1.2</f>
        <v>58560</v>
      </c>
      <c r="C1045" s="79">
        <f t="shared" ref="C1045:I1045" si="1739">C1035*2*1.2</f>
        <v>66960</v>
      </c>
      <c r="D1045" s="79">
        <f t="shared" si="1739"/>
        <v>75360</v>
      </c>
      <c r="E1045" s="79">
        <f t="shared" si="1739"/>
        <v>83640</v>
      </c>
      <c r="F1045" s="79">
        <f t="shared" si="1739"/>
        <v>90360</v>
      </c>
      <c r="G1045" s="79">
        <f t="shared" si="1739"/>
        <v>97080</v>
      </c>
      <c r="H1045" s="79">
        <f t="shared" si="1739"/>
        <v>103800</v>
      </c>
      <c r="I1045" s="79">
        <f t="shared" si="1739"/>
        <v>110520</v>
      </c>
      <c r="J1045" s="80">
        <f t="shared" si="1733"/>
        <v>1464</v>
      </c>
      <c r="K1045" s="80">
        <f t="shared" si="1734"/>
        <v>1569</v>
      </c>
      <c r="L1045" s="80">
        <f t="shared" si="1735"/>
        <v>1884</v>
      </c>
      <c r="M1045" s="80">
        <f t="shared" si="1736"/>
        <v>2175</v>
      </c>
      <c r="N1045" s="80">
        <f t="shared" si="1737"/>
        <v>2427</v>
      </c>
      <c r="O1045" s="80">
        <f t="shared" si="1738"/>
        <v>2679</v>
      </c>
      <c r="P1045" s="81"/>
      <c r="Q1045" s="81"/>
      <c r="R1045" s="81"/>
      <c r="S1045" s="81"/>
      <c r="T1045" s="81"/>
      <c r="U1045" s="81"/>
      <c r="V1045" s="81"/>
      <c r="W1045" s="81"/>
      <c r="X1045" s="81"/>
      <c r="Y1045" s="81"/>
      <c r="Z1045" s="81"/>
      <c r="AA1045" s="81"/>
      <c r="AB1045" s="81"/>
      <c r="AC1045" s="81"/>
      <c r="AD1045" s="81"/>
      <c r="AE1045" s="81"/>
      <c r="AF1045" s="81"/>
    </row>
  </sheetData>
  <autoFilter ref="A1:A1045" xr:uid="{00000000-0009-0000-0000-00000E000000}"/>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indexed="45"/>
  </sheetPr>
  <dimension ref="A1:AH58"/>
  <sheetViews>
    <sheetView zoomScaleNormal="100" zoomScaleSheetLayoutView="100" workbookViewId="0">
      <selection activeCell="B16" sqref="B16"/>
    </sheetView>
  </sheetViews>
  <sheetFormatPr defaultColWidth="9.1796875" defaultRowHeight="12.5"/>
  <cols>
    <col min="1" max="1" width="26.54296875" style="3" bestFit="1" customWidth="1"/>
    <col min="2" max="2" width="29.81640625" style="3" bestFit="1" customWidth="1"/>
    <col min="3" max="3" width="28.81640625" style="3" bestFit="1" customWidth="1"/>
    <col min="4" max="4" width="14.81640625" style="3" bestFit="1" customWidth="1"/>
    <col min="5" max="5" width="18" style="3" bestFit="1" customWidth="1"/>
    <col min="6" max="6" width="19.1796875" style="3" customWidth="1"/>
    <col min="7" max="7" width="12.7265625" style="4" customWidth="1"/>
    <col min="8" max="8" width="17" style="4" customWidth="1"/>
    <col min="9" max="9" width="18" style="4" bestFit="1" customWidth="1"/>
    <col min="10" max="10" width="44.7265625" style="9" bestFit="1" customWidth="1"/>
    <col min="11" max="11" width="35.81640625" style="3" bestFit="1" customWidth="1"/>
    <col min="12" max="12" width="9.1796875" style="3"/>
    <col min="13" max="13" width="14" style="3" customWidth="1"/>
    <col min="14" max="14" width="16.26953125" style="3" customWidth="1"/>
    <col min="15" max="15" width="11.81640625" style="3" customWidth="1"/>
    <col min="16" max="16" width="18.7265625" style="3" customWidth="1"/>
    <col min="17" max="17" width="19.26953125" style="3" customWidth="1"/>
    <col min="18" max="16384" width="9.1796875" style="3"/>
  </cols>
  <sheetData>
    <row r="1" spans="1:34">
      <c r="A1" s="3" t="s">
        <v>1780</v>
      </c>
      <c r="B1" s="3" t="s">
        <v>1780</v>
      </c>
      <c r="C1" s="3" t="s">
        <v>1781</v>
      </c>
      <c r="D1" s="3" t="s">
        <v>669</v>
      </c>
      <c r="E1" s="3" t="s">
        <v>1782</v>
      </c>
      <c r="F1" s="86" t="s">
        <v>1783</v>
      </c>
      <c r="G1" s="4" t="s">
        <v>1784</v>
      </c>
      <c r="H1" s="4" t="s">
        <v>1784</v>
      </c>
      <c r="I1" s="4" t="s">
        <v>1784</v>
      </c>
      <c r="J1" s="9" t="s">
        <v>1785</v>
      </c>
    </row>
    <row r="2" spans="1:34" ht="13">
      <c r="A2" s="5" t="s">
        <v>1786</v>
      </c>
      <c r="B2" s="5" t="s">
        <v>1787</v>
      </c>
      <c r="C2" s="5" t="s">
        <v>1788</v>
      </c>
      <c r="D2" s="3" t="s">
        <v>670</v>
      </c>
      <c r="E2" s="3" t="s">
        <v>1789</v>
      </c>
      <c r="F2" s="87" t="s">
        <v>1790</v>
      </c>
      <c r="G2" s="5" t="s">
        <v>1791</v>
      </c>
      <c r="H2" s="5" t="s">
        <v>1792</v>
      </c>
      <c r="I2" s="5" t="s">
        <v>1793</v>
      </c>
      <c r="J2" s="6" t="s">
        <v>1794</v>
      </c>
      <c r="K2" s="3" t="s">
        <v>102</v>
      </c>
      <c r="N2" s="5"/>
      <c r="O2" s="5"/>
      <c r="P2" s="5"/>
      <c r="Q2" s="5"/>
      <c r="R2" s="5"/>
      <c r="S2" s="5"/>
      <c r="T2" s="5"/>
      <c r="U2" s="5"/>
      <c r="V2" s="5"/>
      <c r="W2" s="5"/>
      <c r="X2" s="5"/>
      <c r="Y2" s="5"/>
      <c r="Z2" s="5"/>
      <c r="AA2" s="5"/>
      <c r="AB2" s="5"/>
      <c r="AC2" s="5"/>
      <c r="AD2" s="5"/>
      <c r="AE2" s="5"/>
      <c r="AF2" s="5"/>
      <c r="AG2" s="5"/>
      <c r="AH2" s="5"/>
    </row>
    <row r="3" spans="1:34">
      <c r="A3" s="8" t="s">
        <v>1795</v>
      </c>
      <c r="B3" s="8" t="s">
        <v>1796</v>
      </c>
      <c r="C3" s="4" t="s">
        <v>1797</v>
      </c>
      <c r="D3" s="3" t="s">
        <v>671</v>
      </c>
      <c r="E3" s="3" t="s">
        <v>1789</v>
      </c>
      <c r="F3" s="85" t="s">
        <v>1798</v>
      </c>
      <c r="G3" s="10" t="s">
        <v>1799</v>
      </c>
      <c r="H3" s="10" t="s">
        <v>1800</v>
      </c>
      <c r="I3" s="10" t="s">
        <v>1801</v>
      </c>
      <c r="J3" s="6" t="s">
        <v>1802</v>
      </c>
      <c r="K3" s="3" t="s">
        <v>1803</v>
      </c>
    </row>
    <row r="4" spans="1:34">
      <c r="A4" s="8" t="s">
        <v>1804</v>
      </c>
      <c r="B4" s="8" t="s">
        <v>1805</v>
      </c>
      <c r="C4" s="4" t="s">
        <v>1806</v>
      </c>
      <c r="D4" s="3" t="s">
        <v>672</v>
      </c>
      <c r="E4" s="3" t="s">
        <v>1789</v>
      </c>
      <c r="F4" s="85">
        <v>0.15</v>
      </c>
      <c r="G4" s="10" t="s">
        <v>1807</v>
      </c>
      <c r="H4" s="10" t="s">
        <v>1808</v>
      </c>
      <c r="I4" s="10" t="s">
        <v>1809</v>
      </c>
      <c r="J4" s="6" t="s">
        <v>1810</v>
      </c>
      <c r="K4" s="3" t="s">
        <v>1811</v>
      </c>
    </row>
    <row r="5" spans="1:34">
      <c r="A5" s="8" t="s">
        <v>1812</v>
      </c>
      <c r="B5" s="8" t="s">
        <v>1813</v>
      </c>
      <c r="C5" s="4" t="s">
        <v>1814</v>
      </c>
      <c r="D5" s="3" t="s">
        <v>673</v>
      </c>
      <c r="E5" s="3" t="s">
        <v>1789</v>
      </c>
      <c r="F5" s="85">
        <v>0.2</v>
      </c>
      <c r="G5" s="10" t="s">
        <v>1798</v>
      </c>
      <c r="H5" s="10" t="s">
        <v>1815</v>
      </c>
      <c r="I5" s="10" t="s">
        <v>1816</v>
      </c>
      <c r="J5" s="6" t="s">
        <v>1817</v>
      </c>
      <c r="K5" s="3" t="s">
        <v>1818</v>
      </c>
    </row>
    <row r="6" spans="1:34">
      <c r="A6" s="8" t="s">
        <v>1819</v>
      </c>
      <c r="B6" s="8" t="s">
        <v>1820</v>
      </c>
      <c r="C6" s="4" t="s">
        <v>1821</v>
      </c>
      <c r="D6" s="3" t="s">
        <v>674</v>
      </c>
      <c r="E6" s="3" t="s">
        <v>1789</v>
      </c>
      <c r="F6" s="85">
        <v>0.25</v>
      </c>
      <c r="G6" s="10" t="s">
        <v>1822</v>
      </c>
      <c r="H6" s="10" t="s">
        <v>1807</v>
      </c>
      <c r="I6" s="10" t="s">
        <v>1823</v>
      </c>
      <c r="K6" s="3" t="s">
        <v>1824</v>
      </c>
    </row>
    <row r="7" spans="1:34">
      <c r="A7" s="8" t="s">
        <v>1825</v>
      </c>
      <c r="B7" s="8" t="s">
        <v>1822</v>
      </c>
      <c r="C7" s="4" t="s">
        <v>1826</v>
      </c>
      <c r="D7" s="3" t="s">
        <v>675</v>
      </c>
      <c r="E7" s="3" t="s">
        <v>1782</v>
      </c>
      <c r="F7" s="85">
        <v>0.3</v>
      </c>
      <c r="H7" s="10" t="s">
        <v>1799</v>
      </c>
      <c r="I7" s="10" t="s">
        <v>1822</v>
      </c>
      <c r="K7" s="3" t="s">
        <v>1827</v>
      </c>
    </row>
    <row r="8" spans="1:34">
      <c r="A8" s="8" t="s">
        <v>1828</v>
      </c>
      <c r="B8" s="8"/>
      <c r="C8" s="4" t="s">
        <v>1829</v>
      </c>
      <c r="D8" s="3" t="s">
        <v>676</v>
      </c>
      <c r="E8" s="3" t="s">
        <v>1789</v>
      </c>
      <c r="F8" s="85">
        <v>0.35</v>
      </c>
      <c r="H8" s="10" t="s">
        <v>1830</v>
      </c>
      <c r="I8" s="10"/>
      <c r="K8" s="3" t="s">
        <v>1831</v>
      </c>
    </row>
    <row r="9" spans="1:34">
      <c r="A9" s="8" t="s">
        <v>1832</v>
      </c>
      <c r="B9" s="8"/>
      <c r="C9" s="4" t="s">
        <v>1833</v>
      </c>
      <c r="D9" s="3" t="s">
        <v>677</v>
      </c>
      <c r="E9" s="3" t="s">
        <v>1834</v>
      </c>
      <c r="F9" s="85">
        <v>0.4</v>
      </c>
      <c r="H9" s="10" t="s">
        <v>1835</v>
      </c>
      <c r="I9" s="10"/>
      <c r="K9" s="3" t="s">
        <v>1836</v>
      </c>
    </row>
    <row r="10" spans="1:34">
      <c r="A10" s="8" t="s">
        <v>1837</v>
      </c>
      <c r="B10" s="4"/>
      <c r="D10" s="3" t="s">
        <v>678</v>
      </c>
      <c r="E10" s="3" t="s">
        <v>1838</v>
      </c>
      <c r="F10" s="85">
        <v>0.45</v>
      </c>
      <c r="H10" s="10"/>
      <c r="I10" s="10"/>
      <c r="K10" s="3" t="s">
        <v>1839</v>
      </c>
    </row>
    <row r="11" spans="1:34">
      <c r="A11" s="8" t="s">
        <v>1840</v>
      </c>
      <c r="D11" s="3" t="s">
        <v>679</v>
      </c>
      <c r="E11" s="3" t="s">
        <v>1789</v>
      </c>
      <c r="F11" s="85">
        <v>0.5</v>
      </c>
      <c r="H11" s="10"/>
      <c r="I11" s="10"/>
      <c r="K11" s="3" t="s">
        <v>1841</v>
      </c>
    </row>
    <row r="12" spans="1:34">
      <c r="A12" s="8" t="s">
        <v>1842</v>
      </c>
      <c r="D12" s="3" t="s">
        <v>680</v>
      </c>
      <c r="E12" s="3" t="s">
        <v>1789</v>
      </c>
      <c r="F12" s="85">
        <v>0.55000000000000004</v>
      </c>
      <c r="H12" s="10"/>
      <c r="I12" s="10"/>
    </row>
    <row r="13" spans="1:34">
      <c r="A13" s="8" t="s">
        <v>1843</v>
      </c>
      <c r="D13" s="3" t="s">
        <v>681</v>
      </c>
      <c r="E13" s="3" t="s">
        <v>1844</v>
      </c>
      <c r="F13" s="85">
        <v>0.6</v>
      </c>
      <c r="H13" s="10"/>
      <c r="I13" s="10"/>
    </row>
    <row r="14" spans="1:34">
      <c r="A14" s="8" t="s">
        <v>1822</v>
      </c>
      <c r="D14" s="3" t="s">
        <v>682</v>
      </c>
      <c r="E14" s="3" t="s">
        <v>1789</v>
      </c>
      <c r="F14" s="85">
        <v>0.65</v>
      </c>
    </row>
    <row r="15" spans="1:34">
      <c r="D15" s="3" t="s">
        <v>683</v>
      </c>
      <c r="E15" s="3" t="s">
        <v>1838</v>
      </c>
      <c r="F15" s="85">
        <v>0.7</v>
      </c>
    </row>
    <row r="16" spans="1:34">
      <c r="D16" s="3" t="s">
        <v>684</v>
      </c>
      <c r="E16" s="3" t="s">
        <v>1838</v>
      </c>
      <c r="F16" s="85">
        <v>0.75</v>
      </c>
    </row>
    <row r="17" spans="4:18">
      <c r="D17" s="3" t="s">
        <v>685</v>
      </c>
      <c r="E17" s="3" t="s">
        <v>1789</v>
      </c>
      <c r="F17" s="85">
        <v>0.8</v>
      </c>
    </row>
    <row r="18" spans="4:18">
      <c r="D18" s="3" t="s">
        <v>686</v>
      </c>
      <c r="E18" s="3" t="s">
        <v>1789</v>
      </c>
      <c r="F18" s="85">
        <v>0.9</v>
      </c>
    </row>
    <row r="19" spans="4:18">
      <c r="D19" s="3" t="s">
        <v>687</v>
      </c>
      <c r="E19" s="3" t="s">
        <v>1845</v>
      </c>
      <c r="F19" s="85">
        <v>1</v>
      </c>
    </row>
    <row r="20" spans="4:18">
      <c r="D20" s="3" t="s">
        <v>688</v>
      </c>
      <c r="E20" s="3" t="s">
        <v>1838</v>
      </c>
      <c r="F20" s="85">
        <v>1.1000000000000001</v>
      </c>
    </row>
    <row r="21" spans="4:18">
      <c r="D21" s="3" t="s">
        <v>689</v>
      </c>
      <c r="E21" s="3" t="s">
        <v>1782</v>
      </c>
      <c r="F21" s="85">
        <v>1.2</v>
      </c>
    </row>
    <row r="22" spans="4:18">
      <c r="D22" s="3" t="s">
        <v>690</v>
      </c>
      <c r="E22" s="3" t="s">
        <v>1789</v>
      </c>
      <c r="K22" s="42"/>
    </row>
    <row r="23" spans="4:18">
      <c r="D23" s="3" t="s">
        <v>691</v>
      </c>
      <c r="E23" s="3" t="s">
        <v>1789</v>
      </c>
      <c r="F23" s="42"/>
      <c r="G23" s="42"/>
      <c r="J23" s="37"/>
      <c r="K23" s="43"/>
      <c r="M23" s="44"/>
      <c r="N23" s="45"/>
      <c r="O23" s="45"/>
      <c r="P23" s="41"/>
    </row>
    <row r="24" spans="4:18">
      <c r="D24" s="3" t="s">
        <v>692</v>
      </c>
      <c r="E24" s="3" t="s">
        <v>1838</v>
      </c>
      <c r="F24" s="7"/>
      <c r="G24" s="42"/>
      <c r="J24" s="43"/>
      <c r="K24" s="43"/>
      <c r="R24" s="40"/>
    </row>
    <row r="25" spans="4:18">
      <c r="D25" s="3" t="s">
        <v>693</v>
      </c>
      <c r="E25" s="3" t="s">
        <v>1789</v>
      </c>
      <c r="F25" s="7"/>
      <c r="G25" s="42"/>
      <c r="J25" s="43"/>
      <c r="K25" s="43"/>
    </row>
    <row r="26" spans="4:18">
      <c r="D26" s="3" t="s">
        <v>694</v>
      </c>
      <c r="E26" s="3" t="s">
        <v>1789</v>
      </c>
      <c r="F26" s="7"/>
      <c r="G26" s="42"/>
      <c r="J26" s="43"/>
      <c r="K26" s="43"/>
    </row>
    <row r="27" spans="4:18">
      <c r="D27" s="3" t="s">
        <v>695</v>
      </c>
      <c r="E27" s="3" t="s">
        <v>1846</v>
      </c>
      <c r="F27" s="7"/>
      <c r="G27" s="42"/>
      <c r="J27" s="43"/>
      <c r="K27" s="43"/>
    </row>
    <row r="28" spans="4:18">
      <c r="D28" s="3" t="s">
        <v>696</v>
      </c>
      <c r="E28" s="3" t="s">
        <v>1782</v>
      </c>
      <c r="F28" s="7"/>
      <c r="G28" s="7"/>
      <c r="J28" s="43"/>
      <c r="K28" s="43"/>
    </row>
    <row r="29" spans="4:18">
      <c r="D29" s="3" t="s">
        <v>697</v>
      </c>
      <c r="E29" s="3" t="s">
        <v>1789</v>
      </c>
      <c r="F29" s="7"/>
      <c r="G29" s="7"/>
      <c r="J29" s="43"/>
      <c r="K29" s="43"/>
    </row>
    <row r="30" spans="4:18">
      <c r="D30" s="3" t="s">
        <v>698</v>
      </c>
      <c r="E30" s="3" t="s">
        <v>1844</v>
      </c>
      <c r="F30" s="7"/>
      <c r="G30" s="7"/>
      <c r="J30" s="43"/>
      <c r="K30" s="43"/>
    </row>
    <row r="31" spans="4:18">
      <c r="D31" s="3" t="s">
        <v>699</v>
      </c>
      <c r="E31" s="3" t="s">
        <v>1834</v>
      </c>
      <c r="F31" s="7"/>
      <c r="G31" s="7"/>
      <c r="J31" s="43"/>
      <c r="K31" s="43"/>
    </row>
    <row r="32" spans="4:18">
      <c r="D32" s="3" t="s">
        <v>700</v>
      </c>
      <c r="E32" s="3" t="s">
        <v>1789</v>
      </c>
      <c r="F32" s="7"/>
      <c r="G32" s="7"/>
      <c r="J32" s="43"/>
      <c r="K32" s="43"/>
    </row>
    <row r="33" spans="4:11">
      <c r="D33" s="3" t="s">
        <v>701</v>
      </c>
      <c r="E33" s="3" t="s">
        <v>1844</v>
      </c>
      <c r="F33" s="7"/>
      <c r="G33" s="7"/>
      <c r="J33" s="43"/>
      <c r="K33" s="43"/>
    </row>
    <row r="34" spans="4:11">
      <c r="D34" s="3" t="s">
        <v>702</v>
      </c>
      <c r="E34" s="3" t="s">
        <v>1834</v>
      </c>
      <c r="F34" s="7"/>
      <c r="G34" s="7"/>
      <c r="J34" s="43"/>
      <c r="K34" s="43"/>
    </row>
    <row r="35" spans="4:11">
      <c r="D35" s="3" t="s">
        <v>703</v>
      </c>
      <c r="E35" s="3" t="s">
        <v>1846</v>
      </c>
      <c r="F35" s="7"/>
      <c r="G35" s="7"/>
      <c r="J35" s="43"/>
      <c r="K35" s="43"/>
    </row>
    <row r="36" spans="4:11">
      <c r="D36" s="3" t="s">
        <v>704</v>
      </c>
      <c r="E36" s="3" t="s">
        <v>1844</v>
      </c>
      <c r="F36" s="7"/>
      <c r="G36" s="7"/>
      <c r="J36" s="43"/>
      <c r="K36" s="43"/>
    </row>
    <row r="37" spans="4:11">
      <c r="D37" s="3" t="s">
        <v>705</v>
      </c>
      <c r="E37" s="3" t="s">
        <v>1847</v>
      </c>
      <c r="F37" s="7"/>
      <c r="G37" s="7"/>
      <c r="J37" s="43"/>
      <c r="K37" s="43"/>
    </row>
    <row r="38" spans="4:11">
      <c r="D38" s="3" t="s">
        <v>706</v>
      </c>
      <c r="E38" s="3" t="s">
        <v>1782</v>
      </c>
      <c r="F38" s="7"/>
      <c r="G38" s="7"/>
      <c r="J38" s="43"/>
      <c r="K38" s="43"/>
    </row>
    <row r="39" spans="4:11">
      <c r="D39" s="3" t="s">
        <v>707</v>
      </c>
      <c r="E39" s="3" t="s">
        <v>1838</v>
      </c>
      <c r="F39" s="7"/>
      <c r="G39" s="7"/>
      <c r="J39" s="43"/>
      <c r="K39" s="43"/>
    </row>
    <row r="40" spans="4:11">
      <c r="D40" s="3" t="s">
        <v>708</v>
      </c>
      <c r="E40" s="3" t="s">
        <v>1846</v>
      </c>
      <c r="F40" s="7"/>
      <c r="G40" s="7"/>
      <c r="J40" s="43"/>
      <c r="K40" s="43"/>
    </row>
    <row r="41" spans="4:11">
      <c r="D41" s="3" t="s">
        <v>709</v>
      </c>
      <c r="E41" s="3" t="s">
        <v>1782</v>
      </c>
      <c r="F41" s="7"/>
      <c r="G41" s="7"/>
      <c r="J41" s="43"/>
      <c r="K41" s="43"/>
    </row>
    <row r="42" spans="4:11">
      <c r="D42" s="3" t="s">
        <v>710</v>
      </c>
      <c r="E42" s="3" t="s">
        <v>1846</v>
      </c>
      <c r="F42" s="7"/>
      <c r="G42" s="7"/>
      <c r="J42" s="43"/>
      <c r="K42" s="43"/>
    </row>
    <row r="43" spans="4:11">
      <c r="D43" s="3" t="s">
        <v>711</v>
      </c>
      <c r="E43" s="3" t="s">
        <v>1782</v>
      </c>
      <c r="F43" s="7"/>
      <c r="G43" s="7"/>
      <c r="J43" s="43"/>
      <c r="K43" s="43"/>
    </row>
    <row r="44" spans="4:11">
      <c r="D44" s="3" t="s">
        <v>712</v>
      </c>
      <c r="E44" s="3" t="s">
        <v>1846</v>
      </c>
      <c r="F44" s="7"/>
      <c r="G44" s="7"/>
      <c r="J44" s="43"/>
      <c r="K44" s="43"/>
    </row>
    <row r="45" spans="4:11">
      <c r="D45" s="3" t="s">
        <v>713</v>
      </c>
      <c r="E45" s="3" t="s">
        <v>1789</v>
      </c>
      <c r="F45" s="7"/>
      <c r="G45" s="7"/>
      <c r="J45" s="43"/>
    </row>
    <row r="46" spans="4:11">
      <c r="D46" s="3" t="s">
        <v>714</v>
      </c>
      <c r="E46" s="3" t="s">
        <v>1789</v>
      </c>
      <c r="F46" s="43"/>
    </row>
    <row r="47" spans="4:11">
      <c r="D47" s="3" t="s">
        <v>715</v>
      </c>
      <c r="E47" s="3" t="s">
        <v>1789</v>
      </c>
      <c r="F47" s="9"/>
      <c r="G47" s="6"/>
    </row>
    <row r="48" spans="4:11">
      <c r="D48" s="3" t="s">
        <v>716</v>
      </c>
      <c r="E48" s="3" t="s">
        <v>1782</v>
      </c>
    </row>
    <row r="49" spans="4:5">
      <c r="D49" s="3" t="s">
        <v>717</v>
      </c>
      <c r="E49" s="3" t="s">
        <v>1782</v>
      </c>
    </row>
    <row r="50" spans="4:5">
      <c r="D50" s="3" t="s">
        <v>718</v>
      </c>
      <c r="E50" s="3" t="s">
        <v>1838</v>
      </c>
    </row>
    <row r="51" spans="4:5">
      <c r="D51" s="3" t="s">
        <v>719</v>
      </c>
      <c r="E51" s="3" t="s">
        <v>1834</v>
      </c>
    </row>
    <row r="52" spans="4:5">
      <c r="D52" s="3" t="s">
        <v>720</v>
      </c>
      <c r="E52" s="3" t="s">
        <v>1789</v>
      </c>
    </row>
    <row r="53" spans="4:5">
      <c r="D53" s="3" t="s">
        <v>721</v>
      </c>
      <c r="E53" s="3" t="s">
        <v>1789</v>
      </c>
    </row>
    <row r="54" spans="4:5">
      <c r="D54" s="3" t="s">
        <v>722</v>
      </c>
      <c r="E54" s="3" t="s">
        <v>1838</v>
      </c>
    </row>
    <row r="55" spans="4:5">
      <c r="D55" s="3" t="s">
        <v>723</v>
      </c>
      <c r="E55" s="3" t="s">
        <v>1789</v>
      </c>
    </row>
    <row r="56" spans="4:5">
      <c r="D56" s="3" t="s">
        <v>724</v>
      </c>
      <c r="E56" s="3" t="s">
        <v>1844</v>
      </c>
    </row>
    <row r="57" spans="4:5">
      <c r="D57" s="3" t="s">
        <v>725</v>
      </c>
      <c r="E57" s="3" t="s">
        <v>1834</v>
      </c>
    </row>
    <row r="58" spans="4:5">
      <c r="D58" s="3" t="s">
        <v>726</v>
      </c>
      <c r="E58" s="3" t="s">
        <v>1834</v>
      </c>
    </row>
  </sheetData>
  <pageMargins left="0.75" right="0.75" top="1" bottom="1" header="0.5" footer="0.5"/>
  <pageSetup orientation="portrait" horizontalDpi="300" verticalDpi="300" r:id="rId1"/>
  <headerFooter alignWithMargins="0">
    <oddFooter>&amp;RVersion:  7/11/2007</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022F4-8C6C-4725-A926-A152553559D6}">
  <sheetPr codeName="Sheet17">
    <tabColor theme="7" tint="-0.249977111117893"/>
    <pageSetUpPr fitToPage="1"/>
  </sheetPr>
  <dimension ref="A1:Q18"/>
  <sheetViews>
    <sheetView showGridLines="0" workbookViewId="0">
      <selection activeCell="G4" sqref="G4"/>
    </sheetView>
  </sheetViews>
  <sheetFormatPr defaultColWidth="9.1796875" defaultRowHeight="12.5"/>
  <cols>
    <col min="1" max="1" width="6.54296875" style="47" customWidth="1"/>
    <col min="2" max="3" width="12.7265625" style="47" customWidth="1"/>
    <col min="4" max="4" width="14.1796875" style="47" customWidth="1"/>
    <col min="5" max="7" width="14" style="47" customWidth="1"/>
    <col min="8" max="8" width="11.81640625" style="47" customWidth="1"/>
    <col min="9" max="9" width="11.26953125" style="47" customWidth="1"/>
    <col min="10" max="15" width="12.7265625" style="47" customWidth="1"/>
    <col min="16" max="16384" width="9.1796875" style="47"/>
  </cols>
  <sheetData>
    <row r="1" spans="1:17" s="23" customFormat="1" ht="18" customHeight="1" thickBot="1">
      <c r="A1" s="1657" t="s">
        <v>1848</v>
      </c>
      <c r="B1" s="1658"/>
      <c r="C1" s="1658"/>
      <c r="D1" s="1658"/>
      <c r="E1" s="1658"/>
      <c r="F1" s="1658"/>
      <c r="G1" s="1658"/>
      <c r="H1" s="1658"/>
      <c r="I1" s="1658"/>
      <c r="J1" s="1658"/>
      <c r="K1" s="1658"/>
      <c r="L1" s="1658"/>
      <c r="M1" s="431">
        <f>CoverPage!B11</f>
        <v>44471</v>
      </c>
    </row>
    <row r="2" spans="1:17" ht="18" customHeight="1">
      <c r="A2" s="1691" t="s">
        <v>1849</v>
      </c>
      <c r="B2" s="1692"/>
      <c r="C2" s="1695" t="s">
        <v>1850</v>
      </c>
      <c r="D2" s="1696"/>
      <c r="E2" s="1697"/>
      <c r="F2" s="1673" t="s">
        <v>1851</v>
      </c>
      <c r="G2" s="1673" t="s">
        <v>1852</v>
      </c>
      <c r="H2" s="1673" t="s">
        <v>93</v>
      </c>
      <c r="I2" s="1668" t="s">
        <v>1853</v>
      </c>
      <c r="J2" s="1668"/>
      <c r="K2" s="1668" t="s">
        <v>1854</v>
      </c>
      <c r="L2" s="1668"/>
      <c r="M2" s="1669" t="s">
        <v>1855</v>
      </c>
    </row>
    <row r="3" spans="1:17" ht="18" customHeight="1">
      <c r="A3" s="1693"/>
      <c r="B3" s="1694"/>
      <c r="C3" s="1698"/>
      <c r="D3" s="1699"/>
      <c r="E3" s="1700"/>
      <c r="F3" s="1674"/>
      <c r="G3" s="1674"/>
      <c r="H3" s="1674"/>
      <c r="I3" s="517" t="s">
        <v>1856</v>
      </c>
      <c r="J3" s="517" t="s">
        <v>1857</v>
      </c>
      <c r="K3" s="517" t="s">
        <v>494</v>
      </c>
      <c r="L3" s="517" t="s">
        <v>1858</v>
      </c>
      <c r="M3" s="1670"/>
    </row>
    <row r="4" spans="1:17" ht="24" customHeight="1">
      <c r="A4" s="48">
        <v>1</v>
      </c>
      <c r="B4" s="50" t="s">
        <v>1859</v>
      </c>
      <c r="C4" s="1671" t="s">
        <v>1860</v>
      </c>
      <c r="D4" s="1672"/>
      <c r="E4" s="566">
        <f>Overview!AI23</f>
        <v>0</v>
      </c>
      <c r="F4" s="567" t="s">
        <v>1861</v>
      </c>
      <c r="G4" s="366"/>
      <c r="H4" s="51"/>
      <c r="I4" s="498"/>
      <c r="J4" s="499"/>
      <c r="K4" s="500"/>
      <c r="L4" s="501"/>
      <c r="M4" s="502"/>
    </row>
    <row r="5" spans="1:17" ht="24" customHeight="1">
      <c r="A5" s="48">
        <v>2</v>
      </c>
      <c r="B5" s="49"/>
      <c r="C5" s="1665"/>
      <c r="D5" s="1666"/>
      <c r="E5" s="1667"/>
      <c r="F5" s="568"/>
      <c r="G5" s="366"/>
      <c r="H5" s="569"/>
      <c r="I5" s="52"/>
      <c r="J5" s="367"/>
      <c r="K5" s="52"/>
      <c r="L5" s="366"/>
      <c r="M5" s="53"/>
    </row>
    <row r="6" spans="1:17" ht="24" customHeight="1">
      <c r="A6" s="48">
        <v>3</v>
      </c>
      <c r="B6" s="49"/>
      <c r="C6" s="1665"/>
      <c r="D6" s="1666"/>
      <c r="E6" s="1667"/>
      <c r="F6" s="568"/>
      <c r="G6" s="366"/>
      <c r="H6" s="569"/>
      <c r="I6" s="52"/>
      <c r="J6" s="367"/>
      <c r="K6" s="52"/>
      <c r="L6" s="366"/>
      <c r="M6" s="53"/>
    </row>
    <row r="7" spans="1:17" ht="24" customHeight="1">
      <c r="A7" s="48">
        <v>4</v>
      </c>
      <c r="B7" s="49"/>
      <c r="C7" s="1665"/>
      <c r="D7" s="1666"/>
      <c r="E7" s="1667"/>
      <c r="F7" s="568"/>
      <c r="G7" s="366"/>
      <c r="H7" s="569"/>
      <c r="I7" s="52"/>
      <c r="J7" s="367"/>
      <c r="K7" s="52"/>
      <c r="L7" s="366"/>
      <c r="M7" s="53"/>
    </row>
    <row r="8" spans="1:17" ht="24" customHeight="1">
      <c r="A8" s="48">
        <v>5</v>
      </c>
      <c r="B8" s="49"/>
      <c r="C8" s="1665"/>
      <c r="D8" s="1666"/>
      <c r="E8" s="1667"/>
      <c r="F8" s="568"/>
      <c r="G8" s="366"/>
      <c r="H8" s="569"/>
      <c r="I8" s="52"/>
      <c r="J8" s="367"/>
      <c r="K8" s="52"/>
      <c r="L8" s="366"/>
      <c r="M8" s="53"/>
    </row>
    <row r="9" spans="1:17" ht="24" customHeight="1">
      <c r="A9" s="48">
        <v>6</v>
      </c>
      <c r="B9" s="49"/>
      <c r="C9" s="1665"/>
      <c r="D9" s="1666"/>
      <c r="E9" s="1667"/>
      <c r="F9" s="568"/>
      <c r="G9" s="366"/>
      <c r="H9" s="569"/>
      <c r="I9" s="52"/>
      <c r="J9" s="367"/>
      <c r="K9" s="52"/>
      <c r="L9" s="366"/>
      <c r="M9" s="53"/>
    </row>
    <row r="10" spans="1:17" ht="24" customHeight="1">
      <c r="A10" s="48">
        <v>7</v>
      </c>
      <c r="B10" s="49"/>
      <c r="C10" s="1665"/>
      <c r="D10" s="1666"/>
      <c r="E10" s="1667"/>
      <c r="F10" s="568"/>
      <c r="G10" s="366"/>
      <c r="H10" s="569"/>
      <c r="I10" s="52"/>
      <c r="J10" s="367"/>
      <c r="K10" s="52"/>
      <c r="L10" s="366"/>
      <c r="M10" s="53"/>
    </row>
    <row r="11" spans="1:17" ht="24" customHeight="1">
      <c r="A11" s="48">
        <v>8</v>
      </c>
      <c r="B11" s="49"/>
      <c r="C11" s="1665"/>
      <c r="D11" s="1666"/>
      <c r="E11" s="1667"/>
      <c r="F11" s="568"/>
      <c r="G11" s="366"/>
      <c r="H11" s="569"/>
      <c r="I11" s="52"/>
      <c r="J11" s="367"/>
      <c r="K11" s="52"/>
      <c r="L11" s="366"/>
      <c r="M11" s="53"/>
    </row>
    <row r="12" spans="1:17" ht="24" customHeight="1">
      <c r="A12" s="48">
        <v>9</v>
      </c>
      <c r="B12" s="49"/>
      <c r="C12" s="1665"/>
      <c r="D12" s="1666"/>
      <c r="E12" s="1667"/>
      <c r="F12" s="568"/>
      <c r="G12" s="366"/>
      <c r="H12" s="569"/>
      <c r="I12" s="52"/>
      <c r="J12" s="367"/>
      <c r="K12" s="52"/>
      <c r="L12" s="366"/>
      <c r="M12" s="53"/>
    </row>
    <row r="13" spans="1:17" ht="24" customHeight="1">
      <c r="A13" s="48">
        <v>10</v>
      </c>
      <c r="B13" s="49"/>
      <c r="C13" s="1665"/>
      <c r="D13" s="1666"/>
      <c r="E13" s="1667"/>
      <c r="F13" s="568"/>
      <c r="G13" s="366"/>
      <c r="H13" s="569"/>
      <c r="I13" s="52"/>
      <c r="J13" s="570"/>
      <c r="K13" s="52"/>
      <c r="L13" s="366"/>
      <c r="M13" s="53"/>
    </row>
    <row r="14" spans="1:17" ht="14.25" customHeight="1">
      <c r="A14" s="1685"/>
      <c r="B14" s="1686"/>
      <c r="C14" s="1686"/>
      <c r="D14" s="1686"/>
      <c r="E14" s="1686"/>
      <c r="F14" s="1686"/>
      <c r="G14" s="1687"/>
      <c r="H14" s="365">
        <f>SUM(H4:H13)</f>
        <v>0</v>
      </c>
      <c r="I14" s="1688"/>
      <c r="J14" s="1689"/>
      <c r="K14" s="1689"/>
      <c r="L14" s="1690"/>
      <c r="M14" s="503">
        <f>SUM(M4:M13)</f>
        <v>0</v>
      </c>
    </row>
    <row r="15" spans="1:17" s="364" customFormat="1" ht="15" customHeight="1">
      <c r="A15" s="1678" t="s">
        <v>152</v>
      </c>
      <c r="B15" s="1679"/>
      <c r="C15" s="1680" t="s">
        <v>1862</v>
      </c>
      <c r="D15" s="1681"/>
      <c r="E15" s="1680" t="s">
        <v>1863</v>
      </c>
      <c r="F15" s="1681"/>
      <c r="G15" s="1681"/>
      <c r="H15" s="1681"/>
      <c r="I15" s="1681"/>
      <c r="J15" s="1682"/>
      <c r="K15" s="1683" t="s">
        <v>112</v>
      </c>
      <c r="L15" s="1684"/>
      <c r="M15" s="571"/>
      <c r="N15" s="47"/>
      <c r="O15" s="47"/>
      <c r="P15" s="47"/>
      <c r="Q15" s="47"/>
    </row>
    <row r="16" spans="1:17" s="364" customFormat="1" ht="105" customHeight="1">
      <c r="A16" s="1675" t="s">
        <v>1864</v>
      </c>
      <c r="B16" s="1676"/>
      <c r="C16" s="1676"/>
      <c r="D16" s="1676"/>
      <c r="E16" s="1676"/>
      <c r="F16" s="1676"/>
      <c r="G16" s="1676"/>
      <c r="H16" s="1676"/>
      <c r="I16" s="1676"/>
      <c r="J16" s="1676"/>
      <c r="K16" s="1676"/>
      <c r="L16" s="1676"/>
      <c r="M16" s="1677"/>
      <c r="N16" s="47"/>
      <c r="O16" s="47"/>
      <c r="P16" s="47"/>
      <c r="Q16" s="47"/>
    </row>
    <row r="17" spans="1:17" s="32" customFormat="1" ht="15" customHeight="1">
      <c r="A17" s="1662" t="s">
        <v>1865</v>
      </c>
      <c r="B17" s="1663"/>
      <c r="C17" s="1663"/>
      <c r="D17" s="1663"/>
      <c r="E17" s="1663"/>
      <c r="F17" s="1663"/>
      <c r="G17" s="1663"/>
      <c r="H17" s="1663"/>
      <c r="I17" s="1663"/>
      <c r="J17" s="1663"/>
      <c r="K17" s="1663"/>
      <c r="L17" s="1663"/>
      <c r="M17" s="1664"/>
      <c r="N17" s="358"/>
      <c r="O17" s="358"/>
      <c r="P17" s="358"/>
      <c r="Q17" s="358"/>
    </row>
    <row r="18" spans="1:17" ht="50.25" customHeight="1" thickBot="1">
      <c r="A18" s="1659"/>
      <c r="B18" s="1660"/>
      <c r="C18" s="1660"/>
      <c r="D18" s="1660"/>
      <c r="E18" s="1660"/>
      <c r="F18" s="1660"/>
      <c r="G18" s="1660"/>
      <c r="H18" s="1660"/>
      <c r="I18" s="1660"/>
      <c r="J18" s="1660"/>
      <c r="K18" s="1660"/>
      <c r="L18" s="1660"/>
      <c r="M18" s="1661"/>
    </row>
  </sheetData>
  <sheetProtection algorithmName="SHA-512" hashValue="RX9bk5lQ1btwv7WBRjIUt3/vL6b6bLZkxL4cTnuB77jdrnFJNjME2PMNLTAvkJlLcUGPa1cGqBjZpWv0aJKnPg==" saltValue="BFuCtXfpdQaS55R9CrtsfQ==" spinCount="100000" sheet="1" objects="1" scenarios="1"/>
  <mergeCells count="28">
    <mergeCell ref="A14:G14"/>
    <mergeCell ref="I14:L14"/>
    <mergeCell ref="C6:E6"/>
    <mergeCell ref="A2:B3"/>
    <mergeCell ref="C2:E3"/>
    <mergeCell ref="F2:F3"/>
    <mergeCell ref="G2:G3"/>
    <mergeCell ref="A16:M16"/>
    <mergeCell ref="A15:B15"/>
    <mergeCell ref="C15:D15"/>
    <mergeCell ref="E15:J15"/>
    <mergeCell ref="K15:L15"/>
    <mergeCell ref="A1:L1"/>
    <mergeCell ref="A18:M18"/>
    <mergeCell ref="A17:M17"/>
    <mergeCell ref="C13:E13"/>
    <mergeCell ref="C7:E7"/>
    <mergeCell ref="C8:E8"/>
    <mergeCell ref="C9:E9"/>
    <mergeCell ref="C10:E10"/>
    <mergeCell ref="C11:E11"/>
    <mergeCell ref="C12:E12"/>
    <mergeCell ref="K2:L2"/>
    <mergeCell ref="M2:M3"/>
    <mergeCell ref="C4:D4"/>
    <mergeCell ref="C5:E5"/>
    <mergeCell ref="H2:H3"/>
    <mergeCell ref="I2:J2"/>
  </mergeCells>
  <conditionalFormatting sqref="H4">
    <cfRule type="cellIs" dxfId="35" priority="1" operator="greaterThan">
      <formula>$E$4</formula>
    </cfRule>
  </conditionalFormatting>
  <dataValidations count="4">
    <dataValidation type="list" allowBlank="1" showInputMessage="1" showErrorMessage="1" sqref="B65299:C65299" xr:uid="{D17B0C05-BD28-4D2D-BD73-DD12C03720DF}">
      <formula1>"Yes, No"</formula1>
    </dataValidation>
    <dataValidation type="list" allowBlank="1" showInputMessage="1" showErrorMessage="1" sqref="K65279" xr:uid="{FBA7755B-727C-4EDC-B720-037504ECAD57}">
      <formula1>#REF!</formula1>
    </dataValidation>
    <dataValidation type="list" allowBlank="1" showInputMessage="1" showErrorMessage="1" sqref="B4:B13 M15" xr:uid="{E94145A2-AE37-4F49-9BA7-70C0A3A09B18}">
      <formula1>"Yes,No,N/A"</formula1>
    </dataValidation>
    <dataValidation type="list" allowBlank="1" showInputMessage="1" showErrorMessage="1" promptTitle="Source Type" sqref="F5:F13" xr:uid="{EDE1CD75-DECC-4E98-BE4F-B5A797079D6A}">
      <formula1>"Fed,State-HCD,State-General,Local,Private,Philanthropic,Other"</formula1>
    </dataValidation>
  </dataValidations>
  <printOptions horizontalCentered="1"/>
  <pageMargins left="0.25" right="0.25" top="0.25" bottom="0.3" header="0" footer="0"/>
  <pageSetup scale="83" firstPageNumber="16" orientation="landscape" r:id="rId1"/>
  <headerFooter scaleWithDoc="0" alignWithMargins="0">
    <oddFooter>&amp;L&amp;9Homekey Round 2&amp;C&amp;9Page &amp;P of &amp;N&amp;R&amp;"Arial,Italic"&amp;9&amp;A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4003857-0889-4D79-9EC5-BC3FE2D104A6}">
          <x14:formula1>
            <xm:f>'Drop Down'!$H$3:$H$9</xm:f>
          </x14:formula1>
          <xm:sqref>K4:K13</xm:sqref>
        </x14:dataValidation>
        <x14:dataValidation type="list" allowBlank="1" showInputMessage="1" showErrorMessage="1" xr:uid="{C846A24E-C766-41C3-A8EE-030063E8BBD1}">
          <x14:formula1>
            <xm:f>'Drop Down'!$I$3:$I$7</xm:f>
          </x14:formula1>
          <xm:sqref>I4:I13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EBF84-E4D5-4FBB-9FA9-889089030224}">
  <sheetPr codeName="Sheet23">
    <tabColor theme="7" tint="-0.249977111117893"/>
    <pageSetUpPr fitToPage="1"/>
  </sheetPr>
  <dimension ref="A1:L128"/>
  <sheetViews>
    <sheetView showGridLines="0" workbookViewId="0">
      <pane xSplit="1" ySplit="5" topLeftCell="B6" activePane="bottomRight" state="frozen"/>
      <selection pane="topRight" activeCell="B1" sqref="B1"/>
      <selection pane="bottomLeft" activeCell="A6" sqref="A6"/>
      <selection pane="bottomRight" activeCell="B6" sqref="B6"/>
    </sheetView>
  </sheetViews>
  <sheetFormatPr defaultColWidth="10.26953125" defaultRowHeight="12.5"/>
  <cols>
    <col min="1" max="1" width="34.7265625" style="69" customWidth="1"/>
    <col min="2" max="11" width="13.7265625" style="47" customWidth="1"/>
    <col min="12" max="12" width="13.7265625" style="70" customWidth="1"/>
    <col min="13" max="16384" width="10.26953125" style="47"/>
  </cols>
  <sheetData>
    <row r="1" spans="1:12" s="20" customFormat="1" ht="18" customHeight="1">
      <c r="A1" s="572">
        <f>CoverPage!B11</f>
        <v>44471</v>
      </c>
      <c r="B1" s="1706" t="s">
        <v>1866</v>
      </c>
      <c r="C1" s="1707"/>
      <c r="D1" s="1707"/>
      <c r="E1" s="1707"/>
      <c r="F1" s="1707"/>
      <c r="G1" s="1707"/>
      <c r="H1" s="1707"/>
      <c r="I1" s="1707"/>
      <c r="J1" s="1707"/>
      <c r="K1" s="1707"/>
      <c r="L1" s="1708"/>
    </row>
    <row r="2" spans="1:12" ht="52.5" customHeight="1">
      <c r="A2" s="1709" t="s">
        <v>1867</v>
      </c>
      <c r="B2" s="1705" t="s">
        <v>1868</v>
      </c>
      <c r="C2" s="1705">
        <f>'Dev Sources'!C5</f>
        <v>0</v>
      </c>
      <c r="D2" s="1705">
        <f>'Dev Sources'!C6</f>
        <v>0</v>
      </c>
      <c r="E2" s="1705">
        <f>'Dev Sources'!C7</f>
        <v>0</v>
      </c>
      <c r="F2" s="1705">
        <f>'Dev Sources'!C8</f>
        <v>0</v>
      </c>
      <c r="G2" s="1705">
        <f>'Dev Sources'!C9</f>
        <v>0</v>
      </c>
      <c r="H2" s="1705">
        <f>'Dev Sources'!C10</f>
        <v>0</v>
      </c>
      <c r="I2" s="1705">
        <f>'Dev Sources'!C11</f>
        <v>0</v>
      </c>
      <c r="J2" s="1705">
        <f>'Dev Sources'!C12</f>
        <v>0</v>
      </c>
      <c r="K2" s="1704">
        <f>'Dev Sources'!C13</f>
        <v>0</v>
      </c>
      <c r="L2" s="1704" t="s">
        <v>1869</v>
      </c>
    </row>
    <row r="3" spans="1:12">
      <c r="A3" s="1710"/>
      <c r="B3" s="1705"/>
      <c r="C3" s="1705"/>
      <c r="D3" s="1705"/>
      <c r="E3" s="1705"/>
      <c r="F3" s="1705"/>
      <c r="G3" s="1705"/>
      <c r="H3" s="1705"/>
      <c r="I3" s="1705"/>
      <c r="J3" s="1705"/>
      <c r="K3" s="1674"/>
      <c r="L3" s="1674"/>
    </row>
    <row r="4" spans="1:12" ht="18" customHeight="1">
      <c r="A4" s="1701" t="s">
        <v>1870</v>
      </c>
      <c r="B4" s="1702"/>
      <c r="C4" s="1702"/>
      <c r="D4" s="1702"/>
      <c r="E4" s="1702"/>
      <c r="F4" s="1702"/>
      <c r="G4" s="1702"/>
      <c r="H4" s="1702"/>
      <c r="I4" s="1702"/>
      <c r="J4" s="1702"/>
      <c r="K4" s="1702"/>
      <c r="L4" s="1703"/>
    </row>
    <row r="5" spans="1:12" ht="15" customHeight="1">
      <c r="A5" s="573" t="s">
        <v>1871</v>
      </c>
      <c r="B5" s="574"/>
      <c r="C5" s="574"/>
      <c r="D5" s="574"/>
      <c r="E5" s="574"/>
      <c r="F5" s="574"/>
      <c r="G5" s="574"/>
      <c r="H5" s="574"/>
      <c r="I5" s="574"/>
      <c r="J5" s="574"/>
      <c r="K5" s="574"/>
      <c r="L5" s="54"/>
    </row>
    <row r="6" spans="1:12" ht="15" customHeight="1">
      <c r="A6" s="55" t="s">
        <v>1872</v>
      </c>
      <c r="B6" s="56"/>
      <c r="C6" s="56"/>
      <c r="D6" s="56"/>
      <c r="E6" s="56"/>
      <c r="F6" s="56"/>
      <c r="G6" s="56"/>
      <c r="H6" s="56"/>
      <c r="I6" s="56"/>
      <c r="J6" s="56"/>
      <c r="K6" s="56"/>
      <c r="L6" s="575">
        <f>SUM(B6:K6)</f>
        <v>0</v>
      </c>
    </row>
    <row r="7" spans="1:12" ht="15" customHeight="1">
      <c r="A7" s="576" t="s">
        <v>1873</v>
      </c>
      <c r="B7" s="577"/>
      <c r="C7" s="577"/>
      <c r="D7" s="577"/>
      <c r="E7" s="577"/>
      <c r="F7" s="577"/>
      <c r="G7" s="577"/>
      <c r="H7" s="577"/>
      <c r="I7" s="577"/>
      <c r="J7" s="577"/>
      <c r="K7" s="577"/>
      <c r="L7" s="57">
        <f>SUM(B7:K7)</f>
        <v>0</v>
      </c>
    </row>
    <row r="8" spans="1:12" ht="15" customHeight="1">
      <c r="A8" s="576" t="s">
        <v>1874</v>
      </c>
      <c r="B8" s="577"/>
      <c r="C8" s="577"/>
      <c r="D8" s="577"/>
      <c r="E8" s="577"/>
      <c r="F8" s="577"/>
      <c r="G8" s="577"/>
      <c r="H8" s="577"/>
      <c r="I8" s="577"/>
      <c r="J8" s="577"/>
      <c r="K8" s="577"/>
      <c r="L8" s="57">
        <f>SUM(B8:K8)</f>
        <v>0</v>
      </c>
    </row>
    <row r="9" spans="1:12" ht="15" customHeight="1">
      <c r="A9" s="576" t="s">
        <v>1875</v>
      </c>
      <c r="B9" s="577"/>
      <c r="C9" s="577"/>
      <c r="D9" s="577"/>
      <c r="E9" s="577"/>
      <c r="F9" s="577"/>
      <c r="G9" s="577"/>
      <c r="H9" s="577"/>
      <c r="I9" s="577"/>
      <c r="J9" s="577"/>
      <c r="K9" s="577"/>
      <c r="L9" s="57">
        <f>SUM(B9:K9)</f>
        <v>0</v>
      </c>
    </row>
    <row r="10" spans="1:12" ht="15" customHeight="1">
      <c r="A10" s="578" t="s">
        <v>1876</v>
      </c>
      <c r="B10" s="579">
        <f t="shared" ref="B10:L10" si="0">SUM(B6:B9)</f>
        <v>0</v>
      </c>
      <c r="C10" s="579">
        <f t="shared" si="0"/>
        <v>0</v>
      </c>
      <c r="D10" s="579">
        <f t="shared" si="0"/>
        <v>0</v>
      </c>
      <c r="E10" s="579">
        <f t="shared" si="0"/>
        <v>0</v>
      </c>
      <c r="F10" s="579">
        <f t="shared" si="0"/>
        <v>0</v>
      </c>
      <c r="G10" s="579">
        <f t="shared" si="0"/>
        <v>0</v>
      </c>
      <c r="H10" s="579">
        <f t="shared" si="0"/>
        <v>0</v>
      </c>
      <c r="I10" s="579">
        <f t="shared" si="0"/>
        <v>0</v>
      </c>
      <c r="J10" s="579">
        <f t="shared" si="0"/>
        <v>0</v>
      </c>
      <c r="K10" s="579">
        <f t="shared" si="0"/>
        <v>0</v>
      </c>
      <c r="L10" s="579">
        <f t="shared" si="0"/>
        <v>0</v>
      </c>
    </row>
    <row r="11" spans="1:12" ht="15" customHeight="1">
      <c r="A11" s="576" t="s">
        <v>1877</v>
      </c>
      <c r="B11" s="577"/>
      <c r="C11" s="577"/>
      <c r="D11" s="577"/>
      <c r="E11" s="577"/>
      <c r="F11" s="577"/>
      <c r="G11" s="577"/>
      <c r="H11" s="577"/>
      <c r="I11" s="577"/>
      <c r="J11" s="577"/>
      <c r="K11" s="577"/>
      <c r="L11" s="57">
        <f>SUM(B11:K11)</f>
        <v>0</v>
      </c>
    </row>
    <row r="12" spans="1:12" ht="15" customHeight="1">
      <c r="A12" s="576" t="s">
        <v>1878</v>
      </c>
      <c r="B12" s="577"/>
      <c r="C12" s="577"/>
      <c r="D12" s="577"/>
      <c r="E12" s="577"/>
      <c r="F12" s="577"/>
      <c r="G12" s="577"/>
      <c r="H12" s="577"/>
      <c r="I12" s="577"/>
      <c r="J12" s="577"/>
      <c r="K12" s="577"/>
      <c r="L12" s="57">
        <f>SUM(B12:K12)</f>
        <v>0</v>
      </c>
    </row>
    <row r="13" spans="1:12" ht="15" customHeight="1">
      <c r="A13" s="578" t="s">
        <v>1879</v>
      </c>
      <c r="B13" s="579">
        <f t="shared" ref="B13:L13" si="1">SUM(B11:B12)</f>
        <v>0</v>
      </c>
      <c r="C13" s="579">
        <f t="shared" si="1"/>
        <v>0</v>
      </c>
      <c r="D13" s="579">
        <f t="shared" si="1"/>
        <v>0</v>
      </c>
      <c r="E13" s="579">
        <f t="shared" si="1"/>
        <v>0</v>
      </c>
      <c r="F13" s="579">
        <f t="shared" si="1"/>
        <v>0</v>
      </c>
      <c r="G13" s="579">
        <f t="shared" si="1"/>
        <v>0</v>
      </c>
      <c r="H13" s="579">
        <f t="shared" si="1"/>
        <v>0</v>
      </c>
      <c r="I13" s="579">
        <f t="shared" si="1"/>
        <v>0</v>
      </c>
      <c r="J13" s="579">
        <f t="shared" si="1"/>
        <v>0</v>
      </c>
      <c r="K13" s="579">
        <f t="shared" si="1"/>
        <v>0</v>
      </c>
      <c r="L13" s="579">
        <f t="shared" si="1"/>
        <v>0</v>
      </c>
    </row>
    <row r="14" spans="1:12" ht="15" customHeight="1">
      <c r="A14" s="578" t="s">
        <v>1880</v>
      </c>
      <c r="B14" s="579">
        <f t="shared" ref="B14" si="2">SUM(B10+B13)</f>
        <v>0</v>
      </c>
      <c r="C14" s="579">
        <f t="shared" ref="C14:L14" si="3">SUM(C10+C13)</f>
        <v>0</v>
      </c>
      <c r="D14" s="579">
        <f t="shared" si="3"/>
        <v>0</v>
      </c>
      <c r="E14" s="579">
        <f t="shared" si="3"/>
        <v>0</v>
      </c>
      <c r="F14" s="579">
        <f t="shared" si="3"/>
        <v>0</v>
      </c>
      <c r="G14" s="579">
        <f t="shared" si="3"/>
        <v>0</v>
      </c>
      <c r="H14" s="579">
        <f t="shared" si="3"/>
        <v>0</v>
      </c>
      <c r="I14" s="579">
        <f t="shared" si="3"/>
        <v>0</v>
      </c>
      <c r="J14" s="579">
        <f t="shared" si="3"/>
        <v>0</v>
      </c>
      <c r="K14" s="579">
        <f t="shared" si="3"/>
        <v>0</v>
      </c>
      <c r="L14" s="579">
        <f t="shared" si="3"/>
        <v>0</v>
      </c>
    </row>
    <row r="15" spans="1:12" ht="15" customHeight="1">
      <c r="A15" s="580" t="s">
        <v>1881</v>
      </c>
      <c r="B15" s="577"/>
      <c r="C15" s="577"/>
      <c r="D15" s="577"/>
      <c r="E15" s="577"/>
      <c r="F15" s="577"/>
      <c r="G15" s="577"/>
      <c r="H15" s="577"/>
      <c r="I15" s="577"/>
      <c r="J15" s="577"/>
      <c r="K15" s="577"/>
      <c r="L15" s="57">
        <f>SUM(B15:K15)</f>
        <v>0</v>
      </c>
    </row>
    <row r="16" spans="1:12" ht="28" customHeight="1">
      <c r="A16" s="576" t="s">
        <v>1882</v>
      </c>
      <c r="B16" s="577"/>
      <c r="C16" s="577"/>
      <c r="D16" s="577"/>
      <c r="E16" s="577"/>
      <c r="F16" s="577"/>
      <c r="G16" s="577"/>
      <c r="H16" s="577"/>
      <c r="I16" s="577"/>
      <c r="J16" s="577"/>
      <c r="K16" s="577"/>
      <c r="L16" s="57">
        <f>SUM(B16:K16)</f>
        <v>0</v>
      </c>
    </row>
    <row r="17" spans="1:12" ht="15" customHeight="1">
      <c r="A17" s="576" t="s">
        <v>1883</v>
      </c>
      <c r="B17" s="577"/>
      <c r="C17" s="577"/>
      <c r="D17" s="577"/>
      <c r="E17" s="577"/>
      <c r="F17" s="577"/>
      <c r="G17" s="577"/>
      <c r="H17" s="577"/>
      <c r="I17" s="577"/>
      <c r="J17" s="577"/>
      <c r="K17" s="577"/>
      <c r="L17" s="57">
        <f>SUM(B17:K17)</f>
        <v>0</v>
      </c>
    </row>
    <row r="18" spans="1:12" ht="15" customHeight="1">
      <c r="A18" s="58" t="s">
        <v>1884</v>
      </c>
      <c r="B18" s="574"/>
      <c r="C18" s="574"/>
      <c r="D18" s="574"/>
      <c r="E18" s="574"/>
      <c r="F18" s="574"/>
      <c r="G18" s="574"/>
      <c r="H18" s="574"/>
      <c r="I18" s="574"/>
      <c r="J18" s="574"/>
      <c r="K18" s="574"/>
      <c r="L18" s="54"/>
    </row>
    <row r="19" spans="1:12" ht="15" customHeight="1">
      <c r="A19" s="59" t="s">
        <v>1885</v>
      </c>
      <c r="B19" s="56"/>
      <c r="C19" s="56"/>
      <c r="D19" s="56"/>
      <c r="E19" s="56"/>
      <c r="F19" s="56"/>
      <c r="G19" s="56"/>
      <c r="H19" s="56"/>
      <c r="I19" s="56"/>
      <c r="J19" s="56"/>
      <c r="K19" s="56"/>
      <c r="L19" s="57">
        <f t="shared" ref="L19:L29" si="4">SUM(B19:K19)</f>
        <v>0</v>
      </c>
    </row>
    <row r="20" spans="1:12" ht="15" customHeight="1">
      <c r="A20" s="59" t="s">
        <v>1886</v>
      </c>
      <c r="B20" s="56"/>
      <c r="C20" s="56"/>
      <c r="D20" s="56"/>
      <c r="E20" s="56"/>
      <c r="F20" s="56"/>
      <c r="G20" s="56"/>
      <c r="H20" s="56"/>
      <c r="I20" s="56"/>
      <c r="J20" s="56"/>
      <c r="K20" s="56"/>
      <c r="L20" s="57">
        <f t="shared" si="4"/>
        <v>0</v>
      </c>
    </row>
    <row r="21" spans="1:12" ht="15" customHeight="1">
      <c r="A21" s="59" t="s">
        <v>1887</v>
      </c>
      <c r="B21" s="56"/>
      <c r="C21" s="56"/>
      <c r="D21" s="56"/>
      <c r="E21" s="56"/>
      <c r="F21" s="56"/>
      <c r="G21" s="56"/>
      <c r="H21" s="56"/>
      <c r="I21" s="56"/>
      <c r="J21" s="56"/>
      <c r="K21" s="56"/>
      <c r="L21" s="57">
        <f t="shared" si="4"/>
        <v>0</v>
      </c>
    </row>
    <row r="22" spans="1:12" ht="15" customHeight="1">
      <c r="A22" s="59" t="s">
        <v>1888</v>
      </c>
      <c r="B22" s="56"/>
      <c r="C22" s="56"/>
      <c r="D22" s="56"/>
      <c r="E22" s="56"/>
      <c r="F22" s="56"/>
      <c r="G22" s="56"/>
      <c r="H22" s="56"/>
      <c r="I22" s="56"/>
      <c r="J22" s="56"/>
      <c r="K22" s="56"/>
      <c r="L22" s="57">
        <f t="shared" si="4"/>
        <v>0</v>
      </c>
    </row>
    <row r="23" spans="1:12" ht="15" customHeight="1">
      <c r="A23" s="59" t="s">
        <v>1889</v>
      </c>
      <c r="B23" s="56"/>
      <c r="C23" s="56"/>
      <c r="D23" s="56"/>
      <c r="E23" s="56"/>
      <c r="F23" s="56"/>
      <c r="G23" s="56"/>
      <c r="H23" s="56"/>
      <c r="I23" s="56"/>
      <c r="J23" s="56"/>
      <c r="K23" s="56"/>
      <c r="L23" s="57">
        <f t="shared" si="4"/>
        <v>0</v>
      </c>
    </row>
    <row r="24" spans="1:12" ht="15" customHeight="1">
      <c r="A24" s="59" t="s">
        <v>1890</v>
      </c>
      <c r="B24" s="56"/>
      <c r="C24" s="56"/>
      <c r="D24" s="56"/>
      <c r="E24" s="56"/>
      <c r="F24" s="56"/>
      <c r="G24" s="56"/>
      <c r="H24" s="56"/>
      <c r="I24" s="56"/>
      <c r="J24" s="56"/>
      <c r="K24" s="56"/>
      <c r="L24" s="57">
        <f t="shared" si="4"/>
        <v>0</v>
      </c>
    </row>
    <row r="25" spans="1:12" ht="15" customHeight="1">
      <c r="A25" s="59" t="s">
        <v>1891</v>
      </c>
      <c r="B25" s="56"/>
      <c r="C25" s="56"/>
      <c r="D25" s="56"/>
      <c r="E25" s="56"/>
      <c r="F25" s="56"/>
      <c r="G25" s="56"/>
      <c r="H25" s="56"/>
      <c r="I25" s="56"/>
      <c r="J25" s="56"/>
      <c r="K25" s="56"/>
      <c r="L25" s="57">
        <f t="shared" si="4"/>
        <v>0</v>
      </c>
    </row>
    <row r="26" spans="1:12" ht="15" customHeight="1">
      <c r="A26" s="59" t="s">
        <v>1892</v>
      </c>
      <c r="B26" s="56"/>
      <c r="C26" s="56"/>
      <c r="D26" s="56"/>
      <c r="E26" s="56"/>
      <c r="F26" s="56"/>
      <c r="G26" s="56"/>
      <c r="H26" s="56"/>
      <c r="I26" s="56"/>
      <c r="J26" s="56"/>
      <c r="K26" s="56"/>
      <c r="L26" s="57">
        <f t="shared" si="4"/>
        <v>0</v>
      </c>
    </row>
    <row r="27" spans="1:12" ht="15" customHeight="1">
      <c r="A27" s="60" t="s">
        <v>1893</v>
      </c>
      <c r="B27" s="56"/>
      <c r="C27" s="56"/>
      <c r="D27" s="56"/>
      <c r="E27" s="56"/>
      <c r="F27" s="56"/>
      <c r="G27" s="56"/>
      <c r="H27" s="56"/>
      <c r="I27" s="56"/>
      <c r="J27" s="56"/>
      <c r="K27" s="56"/>
      <c r="L27" s="57">
        <f t="shared" si="4"/>
        <v>0</v>
      </c>
    </row>
    <row r="28" spans="1:12" ht="15" customHeight="1">
      <c r="A28" s="60" t="s">
        <v>1893</v>
      </c>
      <c r="B28" s="56"/>
      <c r="C28" s="56"/>
      <c r="D28" s="56"/>
      <c r="E28" s="56"/>
      <c r="F28" s="56"/>
      <c r="G28" s="56"/>
      <c r="H28" s="56"/>
      <c r="I28" s="56"/>
      <c r="J28" s="56"/>
      <c r="K28" s="56"/>
      <c r="L28" s="57">
        <f t="shared" si="4"/>
        <v>0</v>
      </c>
    </row>
    <row r="29" spans="1:12" ht="15" customHeight="1">
      <c r="A29" s="60" t="s">
        <v>1893</v>
      </c>
      <c r="B29" s="56"/>
      <c r="C29" s="56"/>
      <c r="D29" s="56"/>
      <c r="E29" s="56"/>
      <c r="F29" s="56"/>
      <c r="G29" s="56"/>
      <c r="H29" s="56"/>
      <c r="I29" s="56"/>
      <c r="J29" s="56"/>
      <c r="K29" s="56"/>
      <c r="L29" s="57">
        <f t="shared" si="4"/>
        <v>0</v>
      </c>
    </row>
    <row r="30" spans="1:12" ht="15" customHeight="1" thickBot="1">
      <c r="A30" s="61" t="s">
        <v>1894</v>
      </c>
      <c r="B30" s="62">
        <f>SUM(B19:B29)</f>
        <v>0</v>
      </c>
      <c r="C30" s="62">
        <f t="shared" ref="C30:L30" si="5">SUM(C19:C29)</f>
        <v>0</v>
      </c>
      <c r="D30" s="62">
        <f t="shared" si="5"/>
        <v>0</v>
      </c>
      <c r="E30" s="62">
        <f t="shared" si="5"/>
        <v>0</v>
      </c>
      <c r="F30" s="62">
        <f t="shared" si="5"/>
        <v>0</v>
      </c>
      <c r="G30" s="62">
        <f t="shared" si="5"/>
        <v>0</v>
      </c>
      <c r="H30" s="62">
        <f t="shared" si="5"/>
        <v>0</v>
      </c>
      <c r="I30" s="62">
        <f t="shared" si="5"/>
        <v>0</v>
      </c>
      <c r="J30" s="62">
        <f t="shared" si="5"/>
        <v>0</v>
      </c>
      <c r="K30" s="62">
        <f t="shared" si="5"/>
        <v>0</v>
      </c>
      <c r="L30" s="62">
        <f t="shared" si="5"/>
        <v>0</v>
      </c>
    </row>
    <row r="31" spans="1:12" ht="15" customHeight="1">
      <c r="A31" s="63" t="s">
        <v>1895</v>
      </c>
      <c r="B31" s="64"/>
      <c r="C31" s="64"/>
      <c r="D31" s="64"/>
      <c r="E31" s="64"/>
      <c r="F31" s="64"/>
      <c r="G31" s="64"/>
      <c r="H31" s="64"/>
      <c r="I31" s="64"/>
      <c r="J31" s="64"/>
      <c r="K31" s="64"/>
      <c r="L31" s="65">
        <f>SUM(B31:K31)</f>
        <v>0</v>
      </c>
    </row>
    <row r="32" spans="1:12" ht="15" customHeight="1">
      <c r="A32" s="573" t="s">
        <v>1896</v>
      </c>
      <c r="B32" s="574"/>
      <c r="C32" s="574"/>
      <c r="D32" s="574"/>
      <c r="E32" s="574"/>
      <c r="F32" s="574"/>
      <c r="G32" s="574"/>
      <c r="H32" s="574"/>
      <c r="I32" s="574"/>
      <c r="J32" s="574"/>
      <c r="K32" s="574"/>
      <c r="L32" s="574"/>
    </row>
    <row r="33" spans="1:12" ht="15" customHeight="1">
      <c r="A33" s="576" t="s">
        <v>1885</v>
      </c>
      <c r="B33" s="577"/>
      <c r="C33" s="577"/>
      <c r="D33" s="577"/>
      <c r="E33" s="577"/>
      <c r="F33" s="577"/>
      <c r="G33" s="577"/>
      <c r="H33" s="577"/>
      <c r="I33" s="577"/>
      <c r="J33" s="577"/>
      <c r="K33" s="577"/>
      <c r="L33" s="57">
        <f t="shared" ref="L33:L46" si="6">SUM(B33:K33)</f>
        <v>0</v>
      </c>
    </row>
    <row r="34" spans="1:12" ht="15" customHeight="1">
      <c r="A34" s="576" t="s">
        <v>1886</v>
      </c>
      <c r="B34" s="56"/>
      <c r="C34" s="56"/>
      <c r="D34" s="56"/>
      <c r="E34" s="56"/>
      <c r="F34" s="577"/>
      <c r="G34" s="577"/>
      <c r="H34" s="577"/>
      <c r="I34" s="577"/>
      <c r="J34" s="577"/>
      <c r="K34" s="577"/>
      <c r="L34" s="57">
        <f t="shared" si="6"/>
        <v>0</v>
      </c>
    </row>
    <row r="35" spans="1:12" ht="15" customHeight="1">
      <c r="A35" s="576" t="s">
        <v>1887</v>
      </c>
      <c r="B35" s="56"/>
      <c r="C35" s="56"/>
      <c r="D35" s="56"/>
      <c r="E35" s="56"/>
      <c r="F35" s="577"/>
      <c r="G35" s="577"/>
      <c r="H35" s="577"/>
      <c r="I35" s="577"/>
      <c r="J35" s="577"/>
      <c r="K35" s="577"/>
      <c r="L35" s="57">
        <f t="shared" si="6"/>
        <v>0</v>
      </c>
    </row>
    <row r="36" spans="1:12" ht="15" customHeight="1">
      <c r="A36" s="576" t="s">
        <v>1888</v>
      </c>
      <c r="B36" s="56"/>
      <c r="C36" s="56"/>
      <c r="D36" s="56"/>
      <c r="E36" s="56"/>
      <c r="F36" s="577"/>
      <c r="G36" s="577"/>
      <c r="H36" s="577"/>
      <c r="I36" s="577"/>
      <c r="J36" s="577"/>
      <c r="K36" s="577"/>
      <c r="L36" s="57">
        <f t="shared" si="6"/>
        <v>0</v>
      </c>
    </row>
    <row r="37" spans="1:12" ht="15" customHeight="1">
      <c r="A37" s="576" t="s">
        <v>1889</v>
      </c>
      <c r="B37" s="56"/>
      <c r="C37" s="56"/>
      <c r="D37" s="56"/>
      <c r="E37" s="56"/>
      <c r="F37" s="577"/>
      <c r="G37" s="577"/>
      <c r="H37" s="577"/>
      <c r="I37" s="577"/>
      <c r="J37" s="577"/>
      <c r="K37" s="577"/>
      <c r="L37" s="57">
        <f t="shared" si="6"/>
        <v>0</v>
      </c>
    </row>
    <row r="38" spans="1:12" ht="15" customHeight="1">
      <c r="A38" s="576" t="s">
        <v>1890</v>
      </c>
      <c r="B38" s="56"/>
      <c r="C38" s="56"/>
      <c r="D38" s="56"/>
      <c r="E38" s="56"/>
      <c r="F38" s="577"/>
      <c r="G38" s="577"/>
      <c r="H38" s="577"/>
      <c r="I38" s="577"/>
      <c r="J38" s="577"/>
      <c r="K38" s="577"/>
      <c r="L38" s="57">
        <f t="shared" si="6"/>
        <v>0</v>
      </c>
    </row>
    <row r="39" spans="1:12" ht="15" customHeight="1">
      <c r="A39" s="576" t="s">
        <v>1891</v>
      </c>
      <c r="B39" s="577"/>
      <c r="C39" s="577"/>
      <c r="D39" s="577"/>
      <c r="E39" s="577"/>
      <c r="F39" s="577"/>
      <c r="G39" s="577"/>
      <c r="H39" s="577"/>
      <c r="I39" s="577"/>
      <c r="J39" s="577"/>
      <c r="K39" s="577"/>
      <c r="L39" s="57">
        <f t="shared" si="6"/>
        <v>0</v>
      </c>
    </row>
    <row r="40" spans="1:12" ht="15" customHeight="1">
      <c r="A40" s="576" t="s">
        <v>1892</v>
      </c>
      <c r="B40" s="577"/>
      <c r="C40" s="577"/>
      <c r="D40" s="577"/>
      <c r="E40" s="577"/>
      <c r="F40" s="577"/>
      <c r="G40" s="577"/>
      <c r="H40" s="577"/>
      <c r="I40" s="577"/>
      <c r="J40" s="577"/>
      <c r="K40" s="577"/>
      <c r="L40" s="57">
        <f t="shared" si="6"/>
        <v>0</v>
      </c>
    </row>
    <row r="41" spans="1:12" ht="15" customHeight="1">
      <c r="A41" s="581" t="s">
        <v>1897</v>
      </c>
      <c r="B41" s="577"/>
      <c r="C41" s="577"/>
      <c r="D41" s="577"/>
      <c r="E41" s="577"/>
      <c r="F41" s="577"/>
      <c r="G41" s="577"/>
      <c r="H41" s="577"/>
      <c r="I41" s="577"/>
      <c r="J41" s="577"/>
      <c r="K41" s="577"/>
      <c r="L41" s="57">
        <f t="shared" ref="L41:L43" si="7">SUM(B41:K41)</f>
        <v>0</v>
      </c>
    </row>
    <row r="42" spans="1:12" ht="15" customHeight="1">
      <c r="A42" s="581" t="s">
        <v>1897</v>
      </c>
      <c r="B42" s="577"/>
      <c r="C42" s="577"/>
      <c r="D42" s="577"/>
      <c r="E42" s="577"/>
      <c r="F42" s="577"/>
      <c r="G42" s="577"/>
      <c r="H42" s="577"/>
      <c r="I42" s="577"/>
      <c r="J42" s="577"/>
      <c r="K42" s="577"/>
      <c r="L42" s="57">
        <f t="shared" ref="L42" si="8">SUM(B42:K42)</f>
        <v>0</v>
      </c>
    </row>
    <row r="43" spans="1:12" ht="15" customHeight="1">
      <c r="A43" s="581" t="s">
        <v>1897</v>
      </c>
      <c r="B43" s="577"/>
      <c r="C43" s="577"/>
      <c r="D43" s="577"/>
      <c r="E43" s="577"/>
      <c r="F43" s="577"/>
      <c r="G43" s="577"/>
      <c r="H43" s="577"/>
      <c r="I43" s="577"/>
      <c r="J43" s="577"/>
      <c r="K43" s="577"/>
      <c r="L43" s="57">
        <f t="shared" si="7"/>
        <v>0</v>
      </c>
    </row>
    <row r="44" spans="1:12" ht="15" customHeight="1">
      <c r="A44" s="581" t="s">
        <v>1897</v>
      </c>
      <c r="B44" s="577"/>
      <c r="C44" s="577"/>
      <c r="D44" s="577"/>
      <c r="E44" s="577"/>
      <c r="F44" s="577"/>
      <c r="G44" s="577"/>
      <c r="H44" s="577"/>
      <c r="I44" s="577"/>
      <c r="J44" s="577"/>
      <c r="K44" s="577"/>
      <c r="L44" s="57">
        <f t="shared" si="6"/>
        <v>0</v>
      </c>
    </row>
    <row r="45" spans="1:12" ht="15" customHeight="1">
      <c r="A45" s="581" t="s">
        <v>1897</v>
      </c>
      <c r="B45" s="577"/>
      <c r="C45" s="577"/>
      <c r="D45" s="577"/>
      <c r="E45" s="577"/>
      <c r="F45" s="577"/>
      <c r="G45" s="577"/>
      <c r="H45" s="577"/>
      <c r="I45" s="577"/>
      <c r="J45" s="577"/>
      <c r="K45" s="577"/>
      <c r="L45" s="57">
        <f t="shared" si="6"/>
        <v>0</v>
      </c>
    </row>
    <row r="46" spans="1:12" ht="15" customHeight="1">
      <c r="A46" s="581" t="s">
        <v>1897</v>
      </c>
      <c r="B46" s="577"/>
      <c r="C46" s="577"/>
      <c r="D46" s="577"/>
      <c r="E46" s="577"/>
      <c r="F46" s="577"/>
      <c r="G46" s="577"/>
      <c r="H46" s="577"/>
      <c r="I46" s="577"/>
      <c r="J46" s="577"/>
      <c r="K46" s="577"/>
      <c r="L46" s="57">
        <f t="shared" si="6"/>
        <v>0</v>
      </c>
    </row>
    <row r="47" spans="1:12" ht="15" customHeight="1">
      <c r="A47" s="578" t="s">
        <v>1898</v>
      </c>
      <c r="B47" s="579">
        <f>SUM(B33:B46)</f>
        <v>0</v>
      </c>
      <c r="C47" s="579">
        <f>SUM(C33:C46)</f>
        <v>0</v>
      </c>
      <c r="D47" s="579">
        <f t="shared" ref="D47:L47" si="9">SUM(D33:D46)</f>
        <v>0</v>
      </c>
      <c r="E47" s="579">
        <f t="shared" si="9"/>
        <v>0</v>
      </c>
      <c r="F47" s="579">
        <f t="shared" si="9"/>
        <v>0</v>
      </c>
      <c r="G47" s="579">
        <f t="shared" si="9"/>
        <v>0</v>
      </c>
      <c r="H47" s="579">
        <f t="shared" si="9"/>
        <v>0</v>
      </c>
      <c r="I47" s="579">
        <f t="shared" si="9"/>
        <v>0</v>
      </c>
      <c r="J47" s="579">
        <f t="shared" si="9"/>
        <v>0</v>
      </c>
      <c r="K47" s="579">
        <f t="shared" si="9"/>
        <v>0</v>
      </c>
      <c r="L47" s="579">
        <f t="shared" si="9"/>
        <v>0</v>
      </c>
    </row>
    <row r="48" spans="1:12" ht="15" customHeight="1">
      <c r="A48" s="573" t="s">
        <v>1899</v>
      </c>
      <c r="B48" s="574"/>
      <c r="C48" s="574"/>
      <c r="D48" s="574"/>
      <c r="E48" s="574"/>
      <c r="F48" s="574"/>
      <c r="G48" s="574"/>
      <c r="H48" s="574"/>
      <c r="I48" s="574"/>
      <c r="J48" s="574"/>
      <c r="K48" s="574"/>
      <c r="L48" s="574"/>
    </row>
    <row r="49" spans="1:12" ht="15" customHeight="1">
      <c r="A49" s="576" t="s">
        <v>1900</v>
      </c>
      <c r="B49" s="577"/>
      <c r="C49" s="577"/>
      <c r="D49" s="577"/>
      <c r="E49" s="577"/>
      <c r="F49" s="577"/>
      <c r="G49" s="577"/>
      <c r="H49" s="577"/>
      <c r="I49" s="577"/>
      <c r="J49" s="577"/>
      <c r="K49" s="577"/>
      <c r="L49" s="57">
        <f>SUM(B49:K49)</f>
        <v>0</v>
      </c>
    </row>
    <row r="50" spans="1:12" ht="15" customHeight="1">
      <c r="A50" s="576" t="s">
        <v>1901</v>
      </c>
      <c r="B50" s="577"/>
      <c r="C50" s="577"/>
      <c r="D50" s="577"/>
      <c r="E50" s="577"/>
      <c r="F50" s="577"/>
      <c r="G50" s="577"/>
      <c r="H50" s="577"/>
      <c r="I50" s="577"/>
      <c r="J50" s="577"/>
      <c r="K50" s="577"/>
      <c r="L50" s="57">
        <f>SUM(B50:K50)</f>
        <v>0</v>
      </c>
    </row>
    <row r="51" spans="1:12" ht="15" customHeight="1" thickBot="1">
      <c r="A51" s="66" t="s">
        <v>1902</v>
      </c>
      <c r="B51" s="67">
        <f>SUM(B48:B50)</f>
        <v>0</v>
      </c>
      <c r="C51" s="67">
        <f>SUM(C48:C50)</f>
        <v>0</v>
      </c>
      <c r="D51" s="67">
        <f t="shared" ref="D51:L51" si="10">SUM(D48:D50)</f>
        <v>0</v>
      </c>
      <c r="E51" s="67">
        <f t="shared" si="10"/>
        <v>0</v>
      </c>
      <c r="F51" s="67">
        <f t="shared" si="10"/>
        <v>0</v>
      </c>
      <c r="G51" s="67">
        <f t="shared" si="10"/>
        <v>0</v>
      </c>
      <c r="H51" s="67">
        <f t="shared" si="10"/>
        <v>0</v>
      </c>
      <c r="I51" s="67">
        <f t="shared" si="10"/>
        <v>0</v>
      </c>
      <c r="J51" s="67">
        <f t="shared" si="10"/>
        <v>0</v>
      </c>
      <c r="K51" s="67">
        <f t="shared" si="10"/>
        <v>0</v>
      </c>
      <c r="L51" s="67">
        <f t="shared" si="10"/>
        <v>0</v>
      </c>
    </row>
    <row r="52" spans="1:12" ht="15" customHeight="1">
      <c r="A52" s="63" t="s">
        <v>1903</v>
      </c>
      <c r="B52" s="56"/>
      <c r="C52" s="56"/>
      <c r="D52" s="56"/>
      <c r="E52" s="56"/>
      <c r="F52" s="56"/>
      <c r="G52" s="56"/>
      <c r="H52" s="56"/>
      <c r="I52" s="56"/>
      <c r="J52" s="56"/>
      <c r="K52" s="56"/>
      <c r="L52" s="65">
        <f>SUM(B52:K52)</f>
        <v>0</v>
      </c>
    </row>
    <row r="53" spans="1:12" ht="15" customHeight="1">
      <c r="A53" s="573" t="s">
        <v>1904</v>
      </c>
      <c r="B53" s="574"/>
      <c r="C53" s="574"/>
      <c r="D53" s="574"/>
      <c r="E53" s="574"/>
      <c r="F53" s="574"/>
      <c r="G53" s="574"/>
      <c r="H53" s="574"/>
      <c r="I53" s="574"/>
      <c r="J53" s="574"/>
      <c r="K53" s="574"/>
      <c r="L53" s="574"/>
    </row>
    <row r="54" spans="1:12" ht="15" customHeight="1">
      <c r="A54" s="576" t="s">
        <v>1905</v>
      </c>
      <c r="B54" s="577"/>
      <c r="C54" s="577"/>
      <c r="D54" s="577"/>
      <c r="E54" s="577"/>
      <c r="F54" s="577"/>
      <c r="G54" s="577"/>
      <c r="H54" s="577"/>
      <c r="I54" s="577"/>
      <c r="J54" s="577"/>
      <c r="K54" s="577"/>
      <c r="L54" s="57">
        <f t="shared" ref="L54:L66" si="11">SUM(B54:K54)</f>
        <v>0</v>
      </c>
    </row>
    <row r="55" spans="1:12" ht="15" customHeight="1">
      <c r="A55" s="576" t="s">
        <v>1906</v>
      </c>
      <c r="B55" s="577"/>
      <c r="C55" s="577"/>
      <c r="D55" s="577"/>
      <c r="E55" s="577"/>
      <c r="F55" s="577"/>
      <c r="G55" s="577"/>
      <c r="H55" s="577"/>
      <c r="I55" s="577"/>
      <c r="J55" s="577"/>
      <c r="K55" s="577"/>
      <c r="L55" s="57">
        <f t="shared" si="11"/>
        <v>0</v>
      </c>
    </row>
    <row r="56" spans="1:12" ht="15" customHeight="1">
      <c r="A56" s="576" t="s">
        <v>1907</v>
      </c>
      <c r="B56" s="577"/>
      <c r="C56" s="577"/>
      <c r="D56" s="577"/>
      <c r="E56" s="577"/>
      <c r="F56" s="577"/>
      <c r="G56" s="577"/>
      <c r="H56" s="577"/>
      <c r="I56" s="577"/>
      <c r="J56" s="577"/>
      <c r="K56" s="577"/>
      <c r="L56" s="57">
        <f t="shared" si="11"/>
        <v>0</v>
      </c>
    </row>
    <row r="57" spans="1:12" ht="15" customHeight="1">
      <c r="A57" s="576" t="s">
        <v>1908</v>
      </c>
      <c r="B57" s="577"/>
      <c r="C57" s="577"/>
      <c r="D57" s="577"/>
      <c r="E57" s="577"/>
      <c r="F57" s="577"/>
      <c r="G57" s="577"/>
      <c r="H57" s="577"/>
      <c r="I57" s="577"/>
      <c r="J57" s="577"/>
      <c r="K57" s="577"/>
      <c r="L57" s="57">
        <f t="shared" si="11"/>
        <v>0</v>
      </c>
    </row>
    <row r="58" spans="1:12" ht="15" customHeight="1">
      <c r="A58" s="576" t="s">
        <v>1909</v>
      </c>
      <c r="B58" s="577"/>
      <c r="C58" s="577"/>
      <c r="D58" s="577"/>
      <c r="E58" s="577"/>
      <c r="F58" s="577"/>
      <c r="G58" s="577"/>
      <c r="H58" s="577"/>
      <c r="I58" s="577"/>
      <c r="J58" s="577"/>
      <c r="K58" s="577"/>
      <c r="L58" s="57">
        <f t="shared" si="11"/>
        <v>0</v>
      </c>
    </row>
    <row r="59" spans="1:12" ht="15" customHeight="1">
      <c r="A59" s="576" t="s">
        <v>1910</v>
      </c>
      <c r="B59" s="577"/>
      <c r="C59" s="577"/>
      <c r="D59" s="577"/>
      <c r="E59" s="577"/>
      <c r="F59" s="577"/>
      <c r="G59" s="577"/>
      <c r="H59" s="577"/>
      <c r="I59" s="577"/>
      <c r="J59" s="577"/>
      <c r="K59" s="577"/>
      <c r="L59" s="57">
        <f t="shared" si="11"/>
        <v>0</v>
      </c>
    </row>
    <row r="60" spans="1:12" ht="15" customHeight="1">
      <c r="A60" s="576" t="s">
        <v>1911</v>
      </c>
      <c r="B60" s="577"/>
      <c r="C60" s="577"/>
      <c r="D60" s="577"/>
      <c r="E60" s="577"/>
      <c r="F60" s="577"/>
      <c r="G60" s="577"/>
      <c r="H60" s="577"/>
      <c r="I60" s="577"/>
      <c r="J60" s="577"/>
      <c r="K60" s="577"/>
      <c r="L60" s="57">
        <f t="shared" si="11"/>
        <v>0</v>
      </c>
    </row>
    <row r="61" spans="1:12" ht="15" customHeight="1">
      <c r="A61" s="576" t="s">
        <v>1912</v>
      </c>
      <c r="B61" s="577"/>
      <c r="C61" s="577"/>
      <c r="D61" s="577"/>
      <c r="E61" s="577"/>
      <c r="F61" s="577"/>
      <c r="G61" s="577"/>
      <c r="H61" s="577"/>
      <c r="I61" s="577"/>
      <c r="J61" s="577"/>
      <c r="K61" s="577"/>
      <c r="L61" s="57">
        <f t="shared" si="11"/>
        <v>0</v>
      </c>
    </row>
    <row r="62" spans="1:12" ht="15" customHeight="1">
      <c r="A62" s="576" t="s">
        <v>1913</v>
      </c>
      <c r="B62" s="577"/>
      <c r="C62" s="577"/>
      <c r="D62" s="577"/>
      <c r="E62" s="577"/>
      <c r="F62" s="577"/>
      <c r="G62" s="577"/>
      <c r="H62" s="577"/>
      <c r="I62" s="577"/>
      <c r="J62" s="577"/>
      <c r="K62" s="577"/>
      <c r="L62" s="57">
        <f t="shared" si="11"/>
        <v>0</v>
      </c>
    </row>
    <row r="63" spans="1:12" ht="15" customHeight="1">
      <c r="A63" s="581" t="s">
        <v>1914</v>
      </c>
      <c r="B63" s="577"/>
      <c r="C63" s="577"/>
      <c r="D63" s="577"/>
      <c r="E63" s="577"/>
      <c r="F63" s="577"/>
      <c r="G63" s="577"/>
      <c r="H63" s="577"/>
      <c r="I63" s="577"/>
      <c r="J63" s="577"/>
      <c r="K63" s="577"/>
      <c r="L63" s="57">
        <f t="shared" si="11"/>
        <v>0</v>
      </c>
    </row>
    <row r="64" spans="1:12" ht="15" customHeight="1">
      <c r="A64" s="581" t="s">
        <v>1914</v>
      </c>
      <c r="B64" s="577"/>
      <c r="C64" s="577"/>
      <c r="D64" s="577"/>
      <c r="E64" s="577"/>
      <c r="F64" s="577"/>
      <c r="G64" s="577"/>
      <c r="H64" s="577"/>
      <c r="I64" s="577"/>
      <c r="J64" s="577"/>
      <c r="K64" s="577"/>
      <c r="L64" s="57">
        <f t="shared" si="11"/>
        <v>0</v>
      </c>
    </row>
    <row r="65" spans="1:12" ht="15" customHeight="1">
      <c r="A65" s="581" t="s">
        <v>1914</v>
      </c>
      <c r="B65" s="577"/>
      <c r="C65" s="577"/>
      <c r="D65" s="577"/>
      <c r="E65" s="577"/>
      <c r="F65" s="577"/>
      <c r="G65" s="577"/>
      <c r="H65" s="577"/>
      <c r="I65" s="577"/>
      <c r="J65" s="577"/>
      <c r="K65" s="577"/>
      <c r="L65" s="57">
        <f t="shared" si="11"/>
        <v>0</v>
      </c>
    </row>
    <row r="66" spans="1:12" ht="15" customHeight="1">
      <c r="A66" s="581" t="s">
        <v>1914</v>
      </c>
      <c r="B66" s="577"/>
      <c r="C66" s="577"/>
      <c r="D66" s="577"/>
      <c r="E66" s="577"/>
      <c r="F66" s="577"/>
      <c r="G66" s="577"/>
      <c r="H66" s="577"/>
      <c r="I66" s="577"/>
      <c r="J66" s="577"/>
      <c r="K66" s="577"/>
      <c r="L66" s="57">
        <f t="shared" si="11"/>
        <v>0</v>
      </c>
    </row>
    <row r="67" spans="1:12" ht="15" customHeight="1">
      <c r="A67" s="578" t="s">
        <v>1915</v>
      </c>
      <c r="B67" s="579">
        <f>SUM(B54:B66)</f>
        <v>0</v>
      </c>
      <c r="C67" s="579">
        <f>SUM(C54:C66)</f>
        <v>0</v>
      </c>
      <c r="D67" s="579">
        <f t="shared" ref="D67:L67" si="12">SUM(D54:D66)</f>
        <v>0</v>
      </c>
      <c r="E67" s="579">
        <f t="shared" si="12"/>
        <v>0</v>
      </c>
      <c r="F67" s="579">
        <f t="shared" si="12"/>
        <v>0</v>
      </c>
      <c r="G67" s="579">
        <f t="shared" si="12"/>
        <v>0</v>
      </c>
      <c r="H67" s="579">
        <f t="shared" si="12"/>
        <v>0</v>
      </c>
      <c r="I67" s="579">
        <f t="shared" si="12"/>
        <v>0</v>
      </c>
      <c r="J67" s="579">
        <f t="shared" si="12"/>
        <v>0</v>
      </c>
      <c r="K67" s="579">
        <f t="shared" si="12"/>
        <v>0</v>
      </c>
      <c r="L67" s="579">
        <f t="shared" si="12"/>
        <v>0</v>
      </c>
    </row>
    <row r="68" spans="1:12" ht="15" customHeight="1">
      <c r="A68" s="573" t="s">
        <v>1916</v>
      </c>
      <c r="B68" s="574"/>
      <c r="C68" s="574"/>
      <c r="D68" s="574"/>
      <c r="E68" s="574"/>
      <c r="F68" s="574"/>
      <c r="G68" s="574"/>
      <c r="H68" s="574"/>
      <c r="I68" s="574"/>
      <c r="J68" s="574"/>
      <c r="K68" s="574"/>
      <c r="L68" s="574"/>
    </row>
    <row r="69" spans="1:12" ht="15" customHeight="1">
      <c r="A69" s="576" t="s">
        <v>1917</v>
      </c>
      <c r="B69" s="577"/>
      <c r="C69" s="577"/>
      <c r="D69" s="577"/>
      <c r="E69" s="577"/>
      <c r="F69" s="577"/>
      <c r="G69" s="577"/>
      <c r="H69" s="577"/>
      <c r="I69" s="577"/>
      <c r="J69" s="577"/>
      <c r="K69" s="577"/>
      <c r="L69" s="57">
        <f t="shared" ref="L69:L77" si="13">SUM(B69:K69)</f>
        <v>0</v>
      </c>
    </row>
    <row r="70" spans="1:12" ht="15" customHeight="1">
      <c r="A70" s="576" t="s">
        <v>1907</v>
      </c>
      <c r="B70" s="577"/>
      <c r="C70" s="577"/>
      <c r="D70" s="577"/>
      <c r="E70" s="577"/>
      <c r="F70" s="577"/>
      <c r="G70" s="577"/>
      <c r="H70" s="577"/>
      <c r="I70" s="577"/>
      <c r="J70" s="577"/>
      <c r="K70" s="577"/>
      <c r="L70" s="57">
        <f t="shared" si="13"/>
        <v>0</v>
      </c>
    </row>
    <row r="71" spans="1:12" ht="15" customHeight="1">
      <c r="A71" s="576" t="s">
        <v>1910</v>
      </c>
      <c r="B71" s="577"/>
      <c r="C71" s="577"/>
      <c r="D71" s="577"/>
      <c r="E71" s="577"/>
      <c r="F71" s="577"/>
      <c r="G71" s="577"/>
      <c r="H71" s="577"/>
      <c r="I71" s="577"/>
      <c r="J71" s="577"/>
      <c r="K71" s="577"/>
      <c r="L71" s="57">
        <f t="shared" si="13"/>
        <v>0</v>
      </c>
    </row>
    <row r="72" spans="1:12" ht="15" customHeight="1">
      <c r="A72" s="576" t="s">
        <v>1911</v>
      </c>
      <c r="B72" s="577"/>
      <c r="C72" s="577"/>
      <c r="D72" s="577"/>
      <c r="E72" s="577"/>
      <c r="F72" s="577"/>
      <c r="G72" s="577"/>
      <c r="H72" s="577"/>
      <c r="I72" s="577"/>
      <c r="J72" s="577"/>
      <c r="K72" s="577"/>
      <c r="L72" s="57">
        <f t="shared" si="13"/>
        <v>0</v>
      </c>
    </row>
    <row r="73" spans="1:12" ht="15" customHeight="1">
      <c r="A73" s="576" t="s">
        <v>1912</v>
      </c>
      <c r="B73" s="577"/>
      <c r="C73" s="577"/>
      <c r="D73" s="577"/>
      <c r="E73" s="577"/>
      <c r="F73" s="577"/>
      <c r="G73" s="577"/>
      <c r="H73" s="577"/>
      <c r="I73" s="577"/>
      <c r="J73" s="577"/>
      <c r="K73" s="577"/>
      <c r="L73" s="57">
        <f t="shared" si="13"/>
        <v>0</v>
      </c>
    </row>
    <row r="74" spans="1:12" ht="15" customHeight="1">
      <c r="A74" s="581" t="s">
        <v>1918</v>
      </c>
      <c r="B74" s="577"/>
      <c r="C74" s="577"/>
      <c r="D74" s="577"/>
      <c r="E74" s="577"/>
      <c r="F74" s="577"/>
      <c r="G74" s="577"/>
      <c r="H74" s="577"/>
      <c r="I74" s="577"/>
      <c r="J74" s="577"/>
      <c r="K74" s="577"/>
      <c r="L74" s="57">
        <f t="shared" si="13"/>
        <v>0</v>
      </c>
    </row>
    <row r="75" spans="1:12" ht="15" customHeight="1">
      <c r="A75" s="581" t="s">
        <v>1918</v>
      </c>
      <c r="B75" s="577"/>
      <c r="C75" s="577"/>
      <c r="D75" s="577"/>
      <c r="E75" s="577"/>
      <c r="F75" s="577"/>
      <c r="G75" s="577"/>
      <c r="H75" s="577"/>
      <c r="I75" s="577"/>
      <c r="J75" s="577"/>
      <c r="K75" s="577"/>
      <c r="L75" s="57">
        <f t="shared" si="13"/>
        <v>0</v>
      </c>
    </row>
    <row r="76" spans="1:12" ht="15" customHeight="1">
      <c r="A76" s="581" t="s">
        <v>1918</v>
      </c>
      <c r="B76" s="577"/>
      <c r="C76" s="577"/>
      <c r="D76" s="577"/>
      <c r="E76" s="577"/>
      <c r="F76" s="577"/>
      <c r="G76" s="577"/>
      <c r="H76" s="577"/>
      <c r="I76" s="577"/>
      <c r="J76" s="577"/>
      <c r="K76" s="577"/>
      <c r="L76" s="57">
        <f t="shared" si="13"/>
        <v>0</v>
      </c>
    </row>
    <row r="77" spans="1:12" ht="15" customHeight="1">
      <c r="A77" s="581" t="s">
        <v>1918</v>
      </c>
      <c r="B77" s="577"/>
      <c r="C77" s="577"/>
      <c r="D77" s="577"/>
      <c r="E77" s="577"/>
      <c r="F77" s="577"/>
      <c r="G77" s="577"/>
      <c r="H77" s="577"/>
      <c r="I77" s="577"/>
      <c r="J77" s="577"/>
      <c r="K77" s="577"/>
      <c r="L77" s="57">
        <f t="shared" si="13"/>
        <v>0</v>
      </c>
    </row>
    <row r="78" spans="1:12" ht="15" customHeight="1">
      <c r="A78" s="578" t="s">
        <v>1919</v>
      </c>
      <c r="B78" s="579">
        <f t="shared" ref="B78:L78" si="14">SUM(B69:B77)</f>
        <v>0</v>
      </c>
      <c r="C78" s="579">
        <f t="shared" si="14"/>
        <v>0</v>
      </c>
      <c r="D78" s="579">
        <f t="shared" si="14"/>
        <v>0</v>
      </c>
      <c r="E78" s="579">
        <f t="shared" si="14"/>
        <v>0</v>
      </c>
      <c r="F78" s="579">
        <f t="shared" si="14"/>
        <v>0</v>
      </c>
      <c r="G78" s="579">
        <f t="shared" si="14"/>
        <v>0</v>
      </c>
      <c r="H78" s="579">
        <f t="shared" si="14"/>
        <v>0</v>
      </c>
      <c r="I78" s="579">
        <f t="shared" si="14"/>
        <v>0</v>
      </c>
      <c r="J78" s="579">
        <f t="shared" si="14"/>
        <v>0</v>
      </c>
      <c r="K78" s="579">
        <f t="shared" si="14"/>
        <v>0</v>
      </c>
      <c r="L78" s="579">
        <f t="shared" si="14"/>
        <v>0</v>
      </c>
    </row>
    <row r="79" spans="1:12" ht="15" customHeight="1">
      <c r="A79" s="582" t="s">
        <v>1920</v>
      </c>
      <c r="B79" s="579">
        <f>SUM(B10+B13+B15+B16+B17+B30+B31+B47+B51+B52+B67+B78)</f>
        <v>0</v>
      </c>
      <c r="C79" s="579">
        <f t="shared" ref="C79:L79" si="15">SUM(C10+C13+C15+C16+C17+C30+C31+C47+C51+C52+C67+C78)</f>
        <v>0</v>
      </c>
      <c r="D79" s="579">
        <f t="shared" si="15"/>
        <v>0</v>
      </c>
      <c r="E79" s="579">
        <f t="shared" si="15"/>
        <v>0</v>
      </c>
      <c r="F79" s="579">
        <f t="shared" si="15"/>
        <v>0</v>
      </c>
      <c r="G79" s="579">
        <f t="shared" si="15"/>
        <v>0</v>
      </c>
      <c r="H79" s="579">
        <f t="shared" si="15"/>
        <v>0</v>
      </c>
      <c r="I79" s="579">
        <f t="shared" si="15"/>
        <v>0</v>
      </c>
      <c r="J79" s="579">
        <f t="shared" si="15"/>
        <v>0</v>
      </c>
      <c r="K79" s="579">
        <f t="shared" si="15"/>
        <v>0</v>
      </c>
      <c r="L79" s="579">
        <f t="shared" si="15"/>
        <v>0</v>
      </c>
    </row>
    <row r="80" spans="1:12" ht="15" customHeight="1">
      <c r="A80" s="573" t="s">
        <v>1921</v>
      </c>
      <c r="B80" s="574"/>
      <c r="C80" s="574"/>
      <c r="D80" s="574"/>
      <c r="E80" s="574"/>
      <c r="F80" s="574"/>
      <c r="G80" s="574"/>
      <c r="H80" s="574"/>
      <c r="I80" s="574"/>
      <c r="J80" s="574"/>
      <c r="K80" s="574"/>
      <c r="L80" s="574"/>
    </row>
    <row r="81" spans="1:12" ht="15" customHeight="1">
      <c r="A81" s="576" t="s">
        <v>1922</v>
      </c>
      <c r="B81" s="577"/>
      <c r="C81" s="577"/>
      <c r="D81" s="577"/>
      <c r="E81" s="577"/>
      <c r="F81" s="577"/>
      <c r="G81" s="577"/>
      <c r="H81" s="577"/>
      <c r="I81" s="577"/>
      <c r="J81" s="577"/>
      <c r="K81" s="577"/>
      <c r="L81" s="57">
        <f>SUM(B81:K81)</f>
        <v>0</v>
      </c>
    </row>
    <row r="82" spans="1:12" ht="15" customHeight="1">
      <c r="A82" s="581" t="s">
        <v>1923</v>
      </c>
      <c r="B82" s="577"/>
      <c r="C82" s="577"/>
      <c r="D82" s="577"/>
      <c r="E82" s="577"/>
      <c r="F82" s="577"/>
      <c r="G82" s="577"/>
      <c r="H82" s="577"/>
      <c r="I82" s="577"/>
      <c r="J82" s="577"/>
      <c r="K82" s="577"/>
      <c r="L82" s="57">
        <f>SUM(B82:K82)</f>
        <v>0</v>
      </c>
    </row>
    <row r="83" spans="1:12" ht="15" customHeight="1">
      <c r="A83" s="581" t="s">
        <v>1923</v>
      </c>
      <c r="B83" s="577"/>
      <c r="C83" s="577"/>
      <c r="D83" s="577"/>
      <c r="E83" s="577"/>
      <c r="F83" s="577"/>
      <c r="G83" s="577"/>
      <c r="H83" s="577"/>
      <c r="I83" s="577"/>
      <c r="J83" s="577"/>
      <c r="K83" s="577"/>
      <c r="L83" s="57">
        <f>SUM(B83:K83)</f>
        <v>0</v>
      </c>
    </row>
    <row r="84" spans="1:12" ht="15" customHeight="1">
      <c r="A84" s="581" t="s">
        <v>1923</v>
      </c>
      <c r="B84" s="577"/>
      <c r="C84" s="577"/>
      <c r="D84" s="577"/>
      <c r="E84" s="577"/>
      <c r="F84" s="577"/>
      <c r="G84" s="577"/>
      <c r="H84" s="577"/>
      <c r="I84" s="577"/>
      <c r="J84" s="577"/>
      <c r="K84" s="577"/>
      <c r="L84" s="57">
        <f>SUM(B84:K84)</f>
        <v>0</v>
      </c>
    </row>
    <row r="85" spans="1:12" ht="15" customHeight="1">
      <c r="A85" s="578" t="s">
        <v>1924</v>
      </c>
      <c r="B85" s="579">
        <f>SUM(B80:B84)</f>
        <v>0</v>
      </c>
      <c r="C85" s="579">
        <f>SUM(C80:C84)</f>
        <v>0</v>
      </c>
      <c r="D85" s="579">
        <f t="shared" ref="D85:L85" si="16">SUM(D80:D84)</f>
        <v>0</v>
      </c>
      <c r="E85" s="579">
        <f t="shared" si="16"/>
        <v>0</v>
      </c>
      <c r="F85" s="579">
        <f t="shared" si="16"/>
        <v>0</v>
      </c>
      <c r="G85" s="579">
        <f t="shared" si="16"/>
        <v>0</v>
      </c>
      <c r="H85" s="579">
        <f t="shared" si="16"/>
        <v>0</v>
      </c>
      <c r="I85" s="579">
        <f t="shared" si="16"/>
        <v>0</v>
      </c>
      <c r="J85" s="579">
        <f t="shared" si="16"/>
        <v>0</v>
      </c>
      <c r="K85" s="579">
        <f t="shared" si="16"/>
        <v>0</v>
      </c>
      <c r="L85" s="579">
        <f t="shared" si="16"/>
        <v>0</v>
      </c>
    </row>
    <row r="86" spans="1:12" ht="15" customHeight="1">
      <c r="A86" s="573" t="s">
        <v>1925</v>
      </c>
      <c r="B86" s="583"/>
      <c r="C86" s="583"/>
      <c r="D86" s="583"/>
      <c r="E86" s="583"/>
      <c r="F86" s="583"/>
      <c r="G86" s="583"/>
      <c r="H86" s="583"/>
      <c r="I86" s="583"/>
      <c r="J86" s="583"/>
      <c r="K86" s="583"/>
      <c r="L86" s="574"/>
    </row>
    <row r="87" spans="1:12" ht="15" customHeight="1">
      <c r="A87" s="576" t="s">
        <v>1926</v>
      </c>
      <c r="B87" s="577"/>
      <c r="C87" s="577"/>
      <c r="D87" s="577"/>
      <c r="E87" s="577"/>
      <c r="F87" s="577"/>
      <c r="G87" s="577"/>
      <c r="H87" s="577"/>
      <c r="I87" s="577"/>
      <c r="J87" s="577"/>
      <c r="K87" s="577"/>
      <c r="L87" s="57">
        <f t="shared" ref="L87:L93" si="17">SUM(B87:K87)</f>
        <v>0</v>
      </c>
    </row>
    <row r="88" spans="1:12" ht="15" customHeight="1">
      <c r="A88" s="576" t="s">
        <v>1927</v>
      </c>
      <c r="B88" s="577"/>
      <c r="C88" s="577"/>
      <c r="D88" s="577"/>
      <c r="E88" s="577"/>
      <c r="F88" s="577"/>
      <c r="G88" s="577"/>
      <c r="H88" s="577"/>
      <c r="I88" s="577"/>
      <c r="J88" s="577"/>
      <c r="K88" s="577"/>
      <c r="L88" s="57">
        <f t="shared" si="17"/>
        <v>0</v>
      </c>
    </row>
    <row r="89" spans="1:12" ht="15" customHeight="1">
      <c r="A89" s="580" t="s">
        <v>1928</v>
      </c>
      <c r="B89" s="577"/>
      <c r="C89" s="577"/>
      <c r="D89" s="577"/>
      <c r="E89" s="577"/>
      <c r="F89" s="577"/>
      <c r="G89" s="577"/>
      <c r="H89" s="577"/>
      <c r="I89" s="577"/>
      <c r="J89" s="577"/>
      <c r="K89" s="577"/>
      <c r="L89" s="57">
        <f t="shared" si="17"/>
        <v>0</v>
      </c>
    </row>
    <row r="90" spans="1:12" ht="15" customHeight="1">
      <c r="A90" s="576" t="s">
        <v>1929</v>
      </c>
      <c r="B90" s="577"/>
      <c r="C90" s="577"/>
      <c r="D90" s="577"/>
      <c r="E90" s="577"/>
      <c r="F90" s="577"/>
      <c r="G90" s="577"/>
      <c r="H90" s="577"/>
      <c r="I90" s="577"/>
      <c r="J90" s="577"/>
      <c r="K90" s="577"/>
      <c r="L90" s="57">
        <f t="shared" si="17"/>
        <v>0</v>
      </c>
    </row>
    <row r="91" spans="1:12" ht="15" customHeight="1">
      <c r="A91" s="581" t="s">
        <v>1930</v>
      </c>
      <c r="B91" s="577"/>
      <c r="C91" s="577"/>
      <c r="D91" s="577"/>
      <c r="E91" s="577"/>
      <c r="F91" s="577"/>
      <c r="G91" s="577"/>
      <c r="H91" s="577"/>
      <c r="I91" s="577"/>
      <c r="J91" s="577"/>
      <c r="K91" s="577"/>
      <c r="L91" s="57">
        <f t="shared" si="17"/>
        <v>0</v>
      </c>
    </row>
    <row r="92" spans="1:12" ht="15" customHeight="1">
      <c r="A92" s="581" t="s">
        <v>1930</v>
      </c>
      <c r="B92" s="577"/>
      <c r="C92" s="577"/>
      <c r="D92" s="577"/>
      <c r="E92" s="577"/>
      <c r="F92" s="577"/>
      <c r="G92" s="577"/>
      <c r="H92" s="577"/>
      <c r="I92" s="577"/>
      <c r="J92" s="577"/>
      <c r="K92" s="577"/>
      <c r="L92" s="57">
        <f t="shared" si="17"/>
        <v>0</v>
      </c>
    </row>
    <row r="93" spans="1:12" ht="15" customHeight="1">
      <c r="A93" s="581" t="s">
        <v>1930</v>
      </c>
      <c r="B93" s="577"/>
      <c r="C93" s="577"/>
      <c r="D93" s="577"/>
      <c r="E93" s="577"/>
      <c r="F93" s="577"/>
      <c r="G93" s="577"/>
      <c r="H93" s="577"/>
      <c r="I93" s="577"/>
      <c r="J93" s="577"/>
      <c r="K93" s="577"/>
      <c r="L93" s="57">
        <f t="shared" si="17"/>
        <v>0</v>
      </c>
    </row>
    <row r="94" spans="1:12" ht="15" customHeight="1">
      <c r="A94" s="578" t="s">
        <v>1931</v>
      </c>
      <c r="B94" s="579">
        <f t="shared" ref="B94:L94" si="18">SUM(B87:B93)</f>
        <v>0</v>
      </c>
      <c r="C94" s="579">
        <f t="shared" si="18"/>
        <v>0</v>
      </c>
      <c r="D94" s="579">
        <f t="shared" si="18"/>
        <v>0</v>
      </c>
      <c r="E94" s="579">
        <f t="shared" si="18"/>
        <v>0</v>
      </c>
      <c r="F94" s="579">
        <f t="shared" si="18"/>
        <v>0</v>
      </c>
      <c r="G94" s="579">
        <f t="shared" si="18"/>
        <v>0</v>
      </c>
      <c r="H94" s="579">
        <f t="shared" si="18"/>
        <v>0</v>
      </c>
      <c r="I94" s="579">
        <f t="shared" si="18"/>
        <v>0</v>
      </c>
      <c r="J94" s="579">
        <f t="shared" si="18"/>
        <v>0</v>
      </c>
      <c r="K94" s="579">
        <f t="shared" si="18"/>
        <v>0</v>
      </c>
      <c r="L94" s="579">
        <f t="shared" si="18"/>
        <v>0</v>
      </c>
    </row>
    <row r="95" spans="1:12" ht="15" customHeight="1">
      <c r="A95" s="573" t="s">
        <v>1932</v>
      </c>
      <c r="B95" s="583"/>
      <c r="C95" s="583"/>
      <c r="D95" s="583"/>
      <c r="E95" s="583"/>
      <c r="F95" s="583"/>
      <c r="G95" s="583"/>
      <c r="H95" s="583"/>
      <c r="I95" s="583"/>
      <c r="J95" s="583"/>
      <c r="K95" s="583"/>
      <c r="L95" s="574"/>
    </row>
    <row r="96" spans="1:12" ht="15" customHeight="1">
      <c r="A96" s="576" t="s">
        <v>1933</v>
      </c>
      <c r="B96" s="577"/>
      <c r="C96" s="577"/>
      <c r="D96" s="577"/>
      <c r="E96" s="577"/>
      <c r="F96" s="577"/>
      <c r="G96" s="577"/>
      <c r="H96" s="577"/>
      <c r="I96" s="577"/>
      <c r="J96" s="577"/>
      <c r="K96" s="577"/>
      <c r="L96" s="57">
        <f>SUM(B96:K96)</f>
        <v>0</v>
      </c>
    </row>
    <row r="97" spans="1:12" ht="15" customHeight="1">
      <c r="A97" s="576" t="s">
        <v>1934</v>
      </c>
      <c r="B97" s="577"/>
      <c r="C97" s="577"/>
      <c r="D97" s="577"/>
      <c r="E97" s="577"/>
      <c r="F97" s="577"/>
      <c r="G97" s="577"/>
      <c r="H97" s="577"/>
      <c r="I97" s="577"/>
      <c r="J97" s="577"/>
      <c r="K97" s="577"/>
      <c r="L97" s="57">
        <f>SUM(B97:K97)</f>
        <v>0</v>
      </c>
    </row>
    <row r="98" spans="1:12" ht="15" customHeight="1">
      <c r="A98" s="578" t="s">
        <v>1935</v>
      </c>
      <c r="B98" s="584">
        <f t="shared" ref="B98:L98" si="19">SUM(B96:B97)</f>
        <v>0</v>
      </c>
      <c r="C98" s="584">
        <f t="shared" si="19"/>
        <v>0</v>
      </c>
      <c r="D98" s="584">
        <f t="shared" si="19"/>
        <v>0</v>
      </c>
      <c r="E98" s="584">
        <f t="shared" si="19"/>
        <v>0</v>
      </c>
      <c r="F98" s="584">
        <f t="shared" si="19"/>
        <v>0</v>
      </c>
      <c r="G98" s="584">
        <f t="shared" si="19"/>
        <v>0</v>
      </c>
      <c r="H98" s="584">
        <f t="shared" si="19"/>
        <v>0</v>
      </c>
      <c r="I98" s="584">
        <f t="shared" si="19"/>
        <v>0</v>
      </c>
      <c r="J98" s="584">
        <f t="shared" si="19"/>
        <v>0</v>
      </c>
      <c r="K98" s="584">
        <f t="shared" si="19"/>
        <v>0</v>
      </c>
      <c r="L98" s="584">
        <f t="shared" si="19"/>
        <v>0</v>
      </c>
    </row>
    <row r="99" spans="1:12" ht="15" customHeight="1">
      <c r="A99" s="573" t="s">
        <v>1936</v>
      </c>
      <c r="B99" s="583"/>
      <c r="C99" s="583"/>
      <c r="D99" s="583"/>
      <c r="E99" s="583"/>
      <c r="F99" s="583"/>
      <c r="G99" s="583"/>
      <c r="H99" s="583"/>
      <c r="I99" s="583"/>
      <c r="J99" s="583"/>
      <c r="K99" s="583"/>
      <c r="L99" s="574"/>
    </row>
    <row r="100" spans="1:12" ht="15" customHeight="1">
      <c r="A100" s="576" t="s">
        <v>1937</v>
      </c>
      <c r="B100" s="577"/>
      <c r="C100" s="577"/>
      <c r="D100" s="577"/>
      <c r="E100" s="577"/>
      <c r="F100" s="577"/>
      <c r="G100" s="577"/>
      <c r="H100" s="577"/>
      <c r="I100" s="577"/>
      <c r="J100" s="577"/>
      <c r="K100" s="577"/>
      <c r="L100" s="57">
        <f t="shared" ref="L100:L115" si="20">SUM(B100:K100)</f>
        <v>0</v>
      </c>
    </row>
    <row r="101" spans="1:12" ht="15" customHeight="1">
      <c r="A101" s="576" t="s">
        <v>1938</v>
      </c>
      <c r="B101" s="577"/>
      <c r="C101" s="577"/>
      <c r="D101" s="577"/>
      <c r="E101" s="577"/>
      <c r="F101" s="577"/>
      <c r="G101" s="577"/>
      <c r="H101" s="577"/>
      <c r="I101" s="577"/>
      <c r="J101" s="577"/>
      <c r="K101" s="577"/>
      <c r="L101" s="57">
        <f t="shared" si="20"/>
        <v>0</v>
      </c>
    </row>
    <row r="102" spans="1:12" ht="15" customHeight="1">
      <c r="A102" s="576" t="s">
        <v>1939</v>
      </c>
      <c r="B102" s="577"/>
      <c r="C102" s="577"/>
      <c r="D102" s="577"/>
      <c r="E102" s="577"/>
      <c r="F102" s="577"/>
      <c r="G102" s="577"/>
      <c r="H102" s="577"/>
      <c r="I102" s="577"/>
      <c r="J102" s="577"/>
      <c r="K102" s="577"/>
      <c r="L102" s="57">
        <f t="shared" si="20"/>
        <v>0</v>
      </c>
    </row>
    <row r="103" spans="1:12" ht="15" customHeight="1">
      <c r="A103" s="576" t="s">
        <v>1940</v>
      </c>
      <c r="B103" s="577"/>
      <c r="C103" s="577"/>
      <c r="D103" s="577"/>
      <c r="E103" s="577"/>
      <c r="F103" s="577"/>
      <c r="G103" s="577"/>
      <c r="H103" s="577"/>
      <c r="I103" s="577"/>
      <c r="J103" s="577"/>
      <c r="K103" s="577"/>
      <c r="L103" s="57">
        <f t="shared" si="20"/>
        <v>0</v>
      </c>
    </row>
    <row r="104" spans="1:12" ht="15" customHeight="1">
      <c r="A104" s="576" t="s">
        <v>1941</v>
      </c>
      <c r="B104" s="577"/>
      <c r="C104" s="577"/>
      <c r="D104" s="577"/>
      <c r="E104" s="577"/>
      <c r="F104" s="577"/>
      <c r="G104" s="577"/>
      <c r="H104" s="577"/>
      <c r="I104" s="577"/>
      <c r="J104" s="577"/>
      <c r="K104" s="577"/>
      <c r="L104" s="57">
        <f t="shared" si="20"/>
        <v>0</v>
      </c>
    </row>
    <row r="105" spans="1:12" ht="15" customHeight="1">
      <c r="A105" s="576" t="s">
        <v>1942</v>
      </c>
      <c r="B105" s="577"/>
      <c r="C105" s="577"/>
      <c r="D105" s="577"/>
      <c r="E105" s="577"/>
      <c r="F105" s="577"/>
      <c r="G105" s="577"/>
      <c r="H105" s="577"/>
      <c r="I105" s="577"/>
      <c r="J105" s="577"/>
      <c r="K105" s="577"/>
      <c r="L105" s="57">
        <f t="shared" si="20"/>
        <v>0</v>
      </c>
    </row>
    <row r="106" spans="1:12" ht="15" customHeight="1">
      <c r="A106" s="576" t="s">
        <v>1943</v>
      </c>
      <c r="B106" s="577"/>
      <c r="C106" s="577"/>
      <c r="D106" s="577"/>
      <c r="E106" s="577"/>
      <c r="F106" s="577"/>
      <c r="G106" s="577"/>
      <c r="H106" s="577"/>
      <c r="I106" s="577"/>
      <c r="J106" s="577"/>
      <c r="K106" s="577"/>
      <c r="L106" s="57">
        <f t="shared" si="20"/>
        <v>0</v>
      </c>
    </row>
    <row r="107" spans="1:12" ht="15" customHeight="1">
      <c r="A107" s="576" t="s">
        <v>158</v>
      </c>
      <c r="B107" s="577"/>
      <c r="C107" s="577"/>
      <c r="D107" s="577"/>
      <c r="E107" s="577"/>
      <c r="F107" s="577"/>
      <c r="G107" s="577"/>
      <c r="H107" s="577"/>
      <c r="I107" s="577"/>
      <c r="J107" s="577"/>
      <c r="K107" s="577"/>
      <c r="L107" s="57">
        <f t="shared" si="20"/>
        <v>0</v>
      </c>
    </row>
    <row r="108" spans="1:12" ht="15" customHeight="1">
      <c r="A108" s="585" t="s">
        <v>1944</v>
      </c>
      <c r="B108" s="577"/>
      <c r="C108" s="577"/>
      <c r="D108" s="577"/>
      <c r="E108" s="577"/>
      <c r="F108" s="577"/>
      <c r="G108" s="577"/>
      <c r="H108" s="577"/>
      <c r="I108" s="577"/>
      <c r="J108" s="577"/>
      <c r="K108" s="577"/>
      <c r="L108" s="57">
        <f t="shared" si="20"/>
        <v>0</v>
      </c>
    </row>
    <row r="109" spans="1:12" ht="15" customHeight="1">
      <c r="A109" s="585" t="s">
        <v>1945</v>
      </c>
      <c r="B109" s="577"/>
      <c r="C109" s="577"/>
      <c r="D109" s="577"/>
      <c r="E109" s="577"/>
      <c r="F109" s="577"/>
      <c r="G109" s="577"/>
      <c r="H109" s="577"/>
      <c r="I109" s="577"/>
      <c r="J109" s="577"/>
      <c r="K109" s="577"/>
      <c r="L109" s="57">
        <f t="shared" si="20"/>
        <v>0</v>
      </c>
    </row>
    <row r="110" spans="1:12" ht="15" customHeight="1">
      <c r="A110" s="581" t="s">
        <v>1946</v>
      </c>
      <c r="B110" s="577"/>
      <c r="C110" s="577"/>
      <c r="D110" s="577"/>
      <c r="E110" s="577"/>
      <c r="F110" s="577"/>
      <c r="G110" s="577"/>
      <c r="H110" s="577"/>
      <c r="I110" s="577"/>
      <c r="J110" s="577"/>
      <c r="K110" s="577"/>
      <c r="L110" s="57">
        <f t="shared" si="20"/>
        <v>0</v>
      </c>
    </row>
    <row r="111" spans="1:12" ht="15" customHeight="1">
      <c r="A111" s="581" t="s">
        <v>1946</v>
      </c>
      <c r="B111" s="577"/>
      <c r="C111" s="577"/>
      <c r="D111" s="577"/>
      <c r="E111" s="577"/>
      <c r="F111" s="577"/>
      <c r="G111" s="577"/>
      <c r="H111" s="577"/>
      <c r="I111" s="577"/>
      <c r="J111" s="577"/>
      <c r="K111" s="577"/>
      <c r="L111" s="57">
        <f t="shared" si="20"/>
        <v>0</v>
      </c>
    </row>
    <row r="112" spans="1:12" ht="15" customHeight="1">
      <c r="A112" s="581" t="s">
        <v>1946</v>
      </c>
      <c r="B112" s="577"/>
      <c r="C112" s="577"/>
      <c r="D112" s="577"/>
      <c r="E112" s="577"/>
      <c r="F112" s="577"/>
      <c r="G112" s="577"/>
      <c r="H112" s="577"/>
      <c r="I112" s="577"/>
      <c r="J112" s="577"/>
      <c r="K112" s="577"/>
      <c r="L112" s="57">
        <f t="shared" si="20"/>
        <v>0</v>
      </c>
    </row>
    <row r="113" spans="1:12" ht="15" customHeight="1">
      <c r="A113" s="581" t="s">
        <v>1946</v>
      </c>
      <c r="B113" s="577"/>
      <c r="C113" s="577"/>
      <c r="D113" s="577"/>
      <c r="E113" s="577"/>
      <c r="F113" s="577"/>
      <c r="G113" s="577"/>
      <c r="H113" s="577"/>
      <c r="I113" s="577"/>
      <c r="J113" s="577"/>
      <c r="K113" s="577"/>
      <c r="L113" s="57">
        <f t="shared" si="20"/>
        <v>0</v>
      </c>
    </row>
    <row r="114" spans="1:12" ht="15" customHeight="1">
      <c r="A114" s="581" t="s">
        <v>1946</v>
      </c>
      <c r="B114" s="577"/>
      <c r="C114" s="577"/>
      <c r="D114" s="577"/>
      <c r="E114" s="577"/>
      <c r="F114" s="577"/>
      <c r="G114" s="577"/>
      <c r="H114" s="577"/>
      <c r="I114" s="577"/>
      <c r="J114" s="577"/>
      <c r="K114" s="577"/>
      <c r="L114" s="57">
        <f t="shared" si="20"/>
        <v>0</v>
      </c>
    </row>
    <row r="115" spans="1:12" ht="15" customHeight="1">
      <c r="A115" s="581" t="s">
        <v>1946</v>
      </c>
      <c r="B115" s="577"/>
      <c r="C115" s="577"/>
      <c r="D115" s="577"/>
      <c r="E115" s="577"/>
      <c r="F115" s="577"/>
      <c r="G115" s="577"/>
      <c r="H115" s="577"/>
      <c r="I115" s="577"/>
      <c r="J115" s="577"/>
      <c r="K115" s="577"/>
      <c r="L115" s="57">
        <f t="shared" si="20"/>
        <v>0</v>
      </c>
    </row>
    <row r="116" spans="1:12" ht="15" customHeight="1">
      <c r="A116" s="578" t="s">
        <v>1947</v>
      </c>
      <c r="B116" s="579">
        <f>SUM(B100:B115)</f>
        <v>0</v>
      </c>
      <c r="C116" s="579">
        <f>SUM(C100:C115)</f>
        <v>0</v>
      </c>
      <c r="D116" s="579">
        <f t="shared" ref="D116:L116" si="21">SUM(D100:D115)</f>
        <v>0</v>
      </c>
      <c r="E116" s="579">
        <f t="shared" si="21"/>
        <v>0</v>
      </c>
      <c r="F116" s="579">
        <f t="shared" si="21"/>
        <v>0</v>
      </c>
      <c r="G116" s="579">
        <f t="shared" si="21"/>
        <v>0</v>
      </c>
      <c r="H116" s="579">
        <f t="shared" si="21"/>
        <v>0</v>
      </c>
      <c r="I116" s="579">
        <f t="shared" si="21"/>
        <v>0</v>
      </c>
      <c r="J116" s="579">
        <f t="shared" si="21"/>
        <v>0</v>
      </c>
      <c r="K116" s="579">
        <f t="shared" si="21"/>
        <v>0</v>
      </c>
      <c r="L116" s="579">
        <f t="shared" si="21"/>
        <v>0</v>
      </c>
    </row>
    <row r="117" spans="1:12" ht="15" customHeight="1">
      <c r="A117" s="578" t="s">
        <v>1948</v>
      </c>
      <c r="B117" s="579">
        <f>SUM(B79+B85+B94+B98+B116)</f>
        <v>0</v>
      </c>
      <c r="C117" s="579">
        <f>SUM(C79+C85+C94+C98+C116)</f>
        <v>0</v>
      </c>
      <c r="D117" s="579">
        <f t="shared" ref="D117:L117" si="22">SUM(D79+D85+D94+D98+D116)</f>
        <v>0</v>
      </c>
      <c r="E117" s="579">
        <f t="shared" si="22"/>
        <v>0</v>
      </c>
      <c r="F117" s="579">
        <f t="shared" si="22"/>
        <v>0</v>
      </c>
      <c r="G117" s="579">
        <f t="shared" si="22"/>
        <v>0</v>
      </c>
      <c r="H117" s="579">
        <f t="shared" si="22"/>
        <v>0</v>
      </c>
      <c r="I117" s="579">
        <f t="shared" si="22"/>
        <v>0</v>
      </c>
      <c r="J117" s="579">
        <f t="shared" si="22"/>
        <v>0</v>
      </c>
      <c r="K117" s="579">
        <f t="shared" si="22"/>
        <v>0</v>
      </c>
      <c r="L117" s="579">
        <f t="shared" si="22"/>
        <v>0</v>
      </c>
    </row>
    <row r="118" spans="1:12" ht="15" customHeight="1">
      <c r="A118" s="573" t="s">
        <v>1949</v>
      </c>
      <c r="B118" s="583"/>
      <c r="C118" s="583"/>
      <c r="D118" s="583"/>
      <c r="E118" s="583"/>
      <c r="F118" s="583"/>
      <c r="G118" s="583"/>
      <c r="H118" s="583"/>
      <c r="I118" s="583"/>
      <c r="J118" s="583"/>
      <c r="K118" s="583"/>
      <c r="L118" s="574"/>
    </row>
    <row r="119" spans="1:12" ht="15" customHeight="1">
      <c r="A119" s="576" t="s">
        <v>1950</v>
      </c>
      <c r="B119" s="577"/>
      <c r="C119" s="577"/>
      <c r="D119" s="577"/>
      <c r="E119" s="577"/>
      <c r="F119" s="577"/>
      <c r="G119" s="577"/>
      <c r="H119" s="577"/>
      <c r="I119" s="577"/>
      <c r="J119" s="577"/>
      <c r="K119" s="577"/>
      <c r="L119" s="57">
        <f t="shared" ref="L119:L124" si="23">SUM(B119:K119)</f>
        <v>0</v>
      </c>
    </row>
    <row r="120" spans="1:12" ht="15" customHeight="1">
      <c r="A120" s="576" t="s">
        <v>1951</v>
      </c>
      <c r="B120" s="577"/>
      <c r="C120" s="577"/>
      <c r="D120" s="577"/>
      <c r="E120" s="577"/>
      <c r="F120" s="577"/>
      <c r="G120" s="577"/>
      <c r="H120" s="577"/>
      <c r="I120" s="577"/>
      <c r="J120" s="577"/>
      <c r="K120" s="577"/>
      <c r="L120" s="57">
        <f t="shared" si="23"/>
        <v>0</v>
      </c>
    </row>
    <row r="121" spans="1:12" ht="15" customHeight="1">
      <c r="A121" s="576" t="s">
        <v>1952</v>
      </c>
      <c r="B121" s="577"/>
      <c r="C121" s="577"/>
      <c r="D121" s="577"/>
      <c r="E121" s="577"/>
      <c r="F121" s="577"/>
      <c r="G121" s="577"/>
      <c r="H121" s="577"/>
      <c r="I121" s="577"/>
      <c r="J121" s="577"/>
      <c r="K121" s="577"/>
      <c r="L121" s="57">
        <f t="shared" si="23"/>
        <v>0</v>
      </c>
    </row>
    <row r="122" spans="1:12" ht="15" customHeight="1">
      <c r="A122" s="576" t="s">
        <v>1953</v>
      </c>
      <c r="B122" s="577"/>
      <c r="C122" s="577"/>
      <c r="D122" s="577"/>
      <c r="E122" s="577"/>
      <c r="F122" s="577"/>
      <c r="G122" s="577"/>
      <c r="H122" s="577"/>
      <c r="I122" s="577"/>
      <c r="J122" s="577"/>
      <c r="K122" s="577"/>
      <c r="L122" s="57">
        <f t="shared" si="23"/>
        <v>0</v>
      </c>
    </row>
    <row r="123" spans="1:12" ht="15" customHeight="1">
      <c r="A123" s="576" t="s">
        <v>1954</v>
      </c>
      <c r="B123" s="577"/>
      <c r="C123" s="577"/>
      <c r="D123" s="577"/>
      <c r="E123" s="577"/>
      <c r="F123" s="577"/>
      <c r="G123" s="577"/>
      <c r="H123" s="577"/>
      <c r="I123" s="577"/>
      <c r="J123" s="577"/>
      <c r="K123" s="577"/>
      <c r="L123" s="57">
        <f t="shared" si="23"/>
        <v>0</v>
      </c>
    </row>
    <row r="124" spans="1:12" ht="15" customHeight="1">
      <c r="A124" s="581" t="s">
        <v>1955</v>
      </c>
      <c r="B124" s="577"/>
      <c r="C124" s="577"/>
      <c r="D124" s="577"/>
      <c r="E124" s="577"/>
      <c r="F124" s="577"/>
      <c r="G124" s="577"/>
      <c r="H124" s="577"/>
      <c r="I124" s="577"/>
      <c r="J124" s="577"/>
      <c r="K124" s="577"/>
      <c r="L124" s="57">
        <f t="shared" si="23"/>
        <v>0</v>
      </c>
    </row>
    <row r="125" spans="1:12" ht="15" customHeight="1">
      <c r="A125" s="578" t="s">
        <v>1956</v>
      </c>
      <c r="B125" s="579">
        <f t="shared" ref="B125:L125" si="24">SUM(B119:B124)</f>
        <v>0</v>
      </c>
      <c r="C125" s="579">
        <f t="shared" si="24"/>
        <v>0</v>
      </c>
      <c r="D125" s="579">
        <f t="shared" si="24"/>
        <v>0</v>
      </c>
      <c r="E125" s="579">
        <f t="shared" si="24"/>
        <v>0</v>
      </c>
      <c r="F125" s="579">
        <f t="shared" si="24"/>
        <v>0</v>
      </c>
      <c r="G125" s="579">
        <f t="shared" si="24"/>
        <v>0</v>
      </c>
      <c r="H125" s="579">
        <f t="shared" si="24"/>
        <v>0</v>
      </c>
      <c r="I125" s="579">
        <f t="shared" si="24"/>
        <v>0</v>
      </c>
      <c r="J125" s="579">
        <f t="shared" si="24"/>
        <v>0</v>
      </c>
      <c r="K125" s="579">
        <f t="shared" si="24"/>
        <v>0</v>
      </c>
      <c r="L125" s="579">
        <f t="shared" si="24"/>
        <v>0</v>
      </c>
    </row>
    <row r="126" spans="1:12" s="68" customFormat="1" ht="15" customHeight="1">
      <c r="A126" s="586" t="s">
        <v>1957</v>
      </c>
      <c r="B126" s="587">
        <f>SUM(B117+B125)</f>
        <v>0</v>
      </c>
      <c r="C126" s="587">
        <f t="shared" ref="C126:L126" si="25">SUM(C117+C125)</f>
        <v>0</v>
      </c>
      <c r="D126" s="587">
        <f t="shared" si="25"/>
        <v>0</v>
      </c>
      <c r="E126" s="587">
        <f t="shared" si="25"/>
        <v>0</v>
      </c>
      <c r="F126" s="587">
        <f t="shared" si="25"/>
        <v>0</v>
      </c>
      <c r="G126" s="587">
        <f t="shared" si="25"/>
        <v>0</v>
      </c>
      <c r="H126" s="587">
        <f t="shared" si="25"/>
        <v>0</v>
      </c>
      <c r="I126" s="587">
        <f t="shared" si="25"/>
        <v>0</v>
      </c>
      <c r="J126" s="587">
        <f t="shared" si="25"/>
        <v>0</v>
      </c>
      <c r="K126" s="587">
        <f t="shared" si="25"/>
        <v>0</v>
      </c>
      <c r="L126" s="587">
        <f t="shared" si="25"/>
        <v>0</v>
      </c>
    </row>
    <row r="128" spans="1:12" s="11" customFormat="1" ht="12" customHeight="1">
      <c r="A128" s="72"/>
      <c r="B128" s="73"/>
      <c r="C128" s="73"/>
      <c r="D128" s="73"/>
      <c r="E128" s="73"/>
      <c r="F128" s="73"/>
      <c r="G128" s="71"/>
    </row>
  </sheetData>
  <sheetProtection algorithmName="SHA-512" hashValue="RL+Epy2BXUUHhyZzW/n3rJmLhhWHV+VeHUdLCfGArDUNzVyet/sgCovOH2PL0SBNdVKkFmwRMSE6SYFnfZqUNw==" saltValue="gNXXtd4DBz4w97YvGqqsDA==" spinCount="100000" sheet="1" objects="1" scenarios="1"/>
  <mergeCells count="14">
    <mergeCell ref="B1:L1"/>
    <mergeCell ref="A2:A3"/>
    <mergeCell ref="B2:B3"/>
    <mergeCell ref="C2:C3"/>
    <mergeCell ref="D2:D3"/>
    <mergeCell ref="E2:E3"/>
    <mergeCell ref="F2:F3"/>
    <mergeCell ref="G2:G3"/>
    <mergeCell ref="A4:L4"/>
    <mergeCell ref="K2:K3"/>
    <mergeCell ref="L2:L3"/>
    <mergeCell ref="H2:H3"/>
    <mergeCell ref="I2:I3"/>
    <mergeCell ref="J2:J3"/>
  </mergeCells>
  <dataValidations count="1">
    <dataValidation type="custom" operator="equal" allowBlank="1" showInputMessage="1" showErrorMessage="1" errorTitle="Rounding Error" error="All values must be entered as whole numbers with no decimals." sqref="B19:B36 C30:L30 C31:K36 C19:K29 B14:K17 B67:K73 B77:K84 B38:K39 B102:K113 B47:K48 B50:K65 B86:K91 B93:K100 B116:K124 B7:K12 B41:K45" xr:uid="{EB9D9DCB-DCC3-4975-9D27-0B5DF7B301F2}">
      <formula1>B7-INT(B7)=0</formula1>
    </dataValidation>
  </dataValidations>
  <printOptions horizontalCentered="1"/>
  <pageMargins left="0.25" right="0.25" top="0.5" bottom="0.3" header="0" footer="0"/>
  <pageSetup scale="54" firstPageNumber="21" fitToHeight="2" orientation="portrait" horizontalDpi="525" verticalDpi="525" r:id="rId1"/>
  <headerFooter scaleWithDoc="0" alignWithMargins="0">
    <oddFooter>&amp;L&amp;9Homekey Round 2&amp;C&amp;9Page &amp;P of &amp;N&amp;R&amp;"Arial,Italic"&amp;9&amp;A</oddFooter>
  </headerFooter>
  <rowBreaks count="1" manualBreakCount="1">
    <brk id="85"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1" id="{CBA24B08-6BE6-482E-A8BB-AD91D7CC75D7}">
            <xm:f>$B$126&lt;&gt;'Dev Sources'!$H$4</xm:f>
            <x14:dxf>
              <fill>
                <gradientFill degree="90">
                  <stop position="0">
                    <color theme="0"/>
                  </stop>
                  <stop position="1">
                    <color rgb="FFFF8585"/>
                  </stop>
                </gradientFill>
              </fill>
            </x14:dxf>
          </x14:cfRule>
          <xm:sqref>B2:B3</xm:sqref>
        </x14:conditionalFormatting>
        <x14:conditionalFormatting xmlns:xm="http://schemas.microsoft.com/office/excel/2006/main">
          <x14:cfRule type="expression" priority="10" id="{78D5EBC6-5B47-4418-B5E0-8DBAAE2343A5}">
            <xm:f>$C$126&lt;&gt;'Dev Sources'!$H$5</xm:f>
            <x14:dxf>
              <fill>
                <gradientFill degree="90">
                  <stop position="0">
                    <color theme="0"/>
                  </stop>
                  <stop position="1">
                    <color rgb="FFFF8585"/>
                  </stop>
                </gradientFill>
              </fill>
            </x14:dxf>
          </x14:cfRule>
          <xm:sqref>C2:C3</xm:sqref>
        </x14:conditionalFormatting>
        <x14:conditionalFormatting xmlns:xm="http://schemas.microsoft.com/office/excel/2006/main">
          <x14:cfRule type="expression" priority="9" id="{FD283386-308F-4B86-96CD-DF21AAB55AE0}">
            <xm:f>$D$126&lt;&gt;'Dev Sources'!$H$6</xm:f>
            <x14:dxf>
              <fill>
                <gradientFill degree="90">
                  <stop position="0">
                    <color theme="0"/>
                  </stop>
                  <stop position="1">
                    <color rgb="FFFF8585"/>
                  </stop>
                </gradientFill>
              </fill>
            </x14:dxf>
          </x14:cfRule>
          <xm:sqref>D2:D3</xm:sqref>
        </x14:conditionalFormatting>
        <x14:conditionalFormatting xmlns:xm="http://schemas.microsoft.com/office/excel/2006/main">
          <x14:cfRule type="expression" priority="8" id="{B017C6C0-1BCE-47D0-A65D-7CB307AF68A4}">
            <xm:f>$E$126&lt;&gt;'Dev Sources'!$H$7</xm:f>
            <x14:dxf>
              <fill>
                <gradientFill degree="90">
                  <stop position="0">
                    <color theme="0"/>
                  </stop>
                  <stop position="1">
                    <color rgb="FFFF8585"/>
                  </stop>
                </gradientFill>
              </fill>
            </x14:dxf>
          </x14:cfRule>
          <xm:sqref>E2:E3</xm:sqref>
        </x14:conditionalFormatting>
        <x14:conditionalFormatting xmlns:xm="http://schemas.microsoft.com/office/excel/2006/main">
          <x14:cfRule type="expression" priority="7" id="{84954BA7-CD95-45D2-B120-953F4DD3195C}">
            <xm:f>$G$126&lt;&gt;'Dev Sources'!$H$9</xm:f>
            <x14:dxf>
              <fill>
                <gradientFill degree="90">
                  <stop position="0">
                    <color theme="0"/>
                  </stop>
                  <stop position="1">
                    <color rgb="FFFF8585"/>
                  </stop>
                </gradientFill>
              </fill>
            </x14:dxf>
          </x14:cfRule>
          <xm:sqref>G2:G3</xm:sqref>
        </x14:conditionalFormatting>
        <x14:conditionalFormatting xmlns:xm="http://schemas.microsoft.com/office/excel/2006/main">
          <x14:cfRule type="expression" priority="6" id="{DB600E4B-1CE4-49AF-8C10-13A72248877E}">
            <xm:f>$H$126&lt;&gt;'Dev Sources'!$H$10</xm:f>
            <x14:dxf>
              <fill>
                <gradientFill degree="90">
                  <stop position="0">
                    <color theme="0"/>
                  </stop>
                  <stop position="1">
                    <color rgb="FFFF8585"/>
                  </stop>
                </gradientFill>
              </fill>
            </x14:dxf>
          </x14:cfRule>
          <xm:sqref>H2:H3</xm:sqref>
        </x14:conditionalFormatting>
        <x14:conditionalFormatting xmlns:xm="http://schemas.microsoft.com/office/excel/2006/main">
          <x14:cfRule type="expression" priority="5" id="{D8ECB652-6DFE-4856-88E3-16B3C94A926D}">
            <xm:f>$I$126&lt;&gt;'Dev Sources'!$H$11</xm:f>
            <x14:dxf>
              <fill>
                <gradientFill degree="90">
                  <stop position="0">
                    <color theme="0"/>
                  </stop>
                  <stop position="1">
                    <color rgb="FFFF8585"/>
                  </stop>
                </gradientFill>
              </fill>
            </x14:dxf>
          </x14:cfRule>
          <xm:sqref>I2:I3</xm:sqref>
        </x14:conditionalFormatting>
        <x14:conditionalFormatting xmlns:xm="http://schemas.microsoft.com/office/excel/2006/main">
          <x14:cfRule type="expression" priority="4" id="{C425CC16-37E1-46CA-8314-2176D0E0F4D3}">
            <xm:f>$J$126&lt;&gt;'Dev Sources'!$H$12</xm:f>
            <x14:dxf>
              <fill>
                <gradientFill degree="90">
                  <stop position="0">
                    <color theme="0"/>
                  </stop>
                  <stop position="1">
                    <color rgb="FFFF8585"/>
                  </stop>
                </gradientFill>
              </fill>
            </x14:dxf>
          </x14:cfRule>
          <xm:sqref>J2:J3</xm:sqref>
        </x14:conditionalFormatting>
        <x14:conditionalFormatting xmlns:xm="http://schemas.microsoft.com/office/excel/2006/main">
          <x14:cfRule type="expression" priority="2" id="{CCAA22BA-DD30-4D34-A421-27DAE67A272E}">
            <xm:f>$K$126&lt;&gt;'Dev Sources'!$H$13</xm:f>
            <x14:dxf>
              <fill>
                <gradientFill degree="90">
                  <stop position="0">
                    <color theme="0"/>
                  </stop>
                  <stop position="1">
                    <color rgb="FFFF8585"/>
                  </stop>
                </gradientFill>
              </fill>
            </x14:dxf>
          </x14:cfRule>
          <xm:sqref>K2:K3</xm:sqref>
        </x14:conditionalFormatting>
        <x14:conditionalFormatting xmlns:xm="http://schemas.microsoft.com/office/excel/2006/main">
          <x14:cfRule type="expression" priority="1" id="{1492058E-9686-4E24-AD90-E663F87B7AE5}">
            <xm:f>$F$126&lt;&gt;'Dev Sources'!$H$8</xm:f>
            <x14:dxf>
              <fill>
                <gradientFill degree="90">
                  <stop position="0">
                    <color theme="0"/>
                  </stop>
                  <stop position="1">
                    <color rgb="FFFF8585"/>
                  </stop>
                </gradientFill>
              </fill>
            </x14:dxf>
          </x14:cfRule>
          <xm:sqref>F2:F3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7DAC-F2D2-4E83-9F95-C3EF8F48B532}">
  <sheetPr codeName="Sheet9">
    <tabColor theme="7" tint="-0.249977111117893"/>
  </sheetPr>
  <dimension ref="A1:I136"/>
  <sheetViews>
    <sheetView showGridLines="0" zoomScaleNormal="100" workbookViewId="0">
      <selection activeCell="D6" sqref="D6"/>
    </sheetView>
  </sheetViews>
  <sheetFormatPr defaultColWidth="9.1796875" defaultRowHeight="12.5"/>
  <cols>
    <col min="1" max="2" width="5.81640625" style="75" customWidth="1"/>
    <col min="3" max="3" width="46.1796875" style="75" customWidth="1"/>
    <col min="4" max="4" width="17.54296875" style="75" customWidth="1"/>
    <col min="5" max="5" width="21" style="75" customWidth="1"/>
    <col min="6" max="6" width="37.7265625" style="71" customWidth="1"/>
    <col min="7" max="7" width="10.7265625" style="75" hidden="1" customWidth="1"/>
    <col min="8" max="8" width="15.26953125" style="75" hidden="1" customWidth="1"/>
    <col min="9" max="9" width="9.1796875" style="75" hidden="1" customWidth="1"/>
    <col min="10" max="16384" width="9.1796875" style="75"/>
  </cols>
  <sheetData>
    <row r="1" spans="1:8" ht="13.5" customHeight="1">
      <c r="A1" s="1728">
        <f>Overview!E29</f>
        <v>0</v>
      </c>
      <c r="B1" s="1729"/>
      <c r="C1" s="1729"/>
      <c r="D1" s="1729"/>
      <c r="E1" s="1729"/>
      <c r="F1" s="1730"/>
    </row>
    <row r="2" spans="1:8" ht="18" customHeight="1">
      <c r="A2" s="1731">
        <f>CoverPage!B11</f>
        <v>44471</v>
      </c>
      <c r="B2" s="1732"/>
      <c r="C2" s="1733" t="s">
        <v>1958</v>
      </c>
      <c r="D2" s="1734"/>
      <c r="E2" s="1734"/>
      <c r="F2" s="1735"/>
    </row>
    <row r="3" spans="1:8" ht="3" customHeight="1">
      <c r="A3" s="89"/>
      <c r="B3" s="90"/>
      <c r="C3" s="91"/>
      <c r="D3" s="90"/>
      <c r="E3" s="90"/>
      <c r="F3" s="92"/>
    </row>
    <row r="4" spans="1:8" ht="15" customHeight="1">
      <c r="A4" s="1721" t="s">
        <v>1959</v>
      </c>
      <c r="B4" s="1736"/>
      <c r="C4" s="1736"/>
      <c r="D4" s="1736"/>
      <c r="E4" s="1737"/>
      <c r="F4" s="179" t="s">
        <v>1960</v>
      </c>
      <c r="G4" s="93"/>
      <c r="H4" s="93"/>
    </row>
    <row r="5" spans="1:8" ht="15" customHeight="1">
      <c r="A5" s="444" t="s">
        <v>1961</v>
      </c>
      <c r="B5" s="588" t="s">
        <v>1962</v>
      </c>
      <c r="C5" s="589" t="s">
        <v>1963</v>
      </c>
      <c r="D5" s="590" t="s">
        <v>1964</v>
      </c>
      <c r="E5" s="94" t="s">
        <v>1965</v>
      </c>
      <c r="F5" s="95"/>
      <c r="G5" s="96"/>
      <c r="H5" s="97"/>
    </row>
    <row r="6" spans="1:8" ht="15" customHeight="1">
      <c r="A6" s="445"/>
      <c r="B6" s="591"/>
      <c r="C6" s="98" t="s">
        <v>1966</v>
      </c>
      <c r="D6" s="99">
        <v>0</v>
      </c>
      <c r="E6" s="592">
        <v>0</v>
      </c>
      <c r="F6" s="182"/>
    </row>
    <row r="7" spans="1:8" ht="15" customHeight="1">
      <c r="A7" s="445"/>
      <c r="B7" s="591"/>
      <c r="C7" s="98" t="s">
        <v>1967</v>
      </c>
      <c r="D7" s="100">
        <v>0</v>
      </c>
      <c r="E7" s="101">
        <v>0</v>
      </c>
      <c r="F7" s="182"/>
    </row>
    <row r="8" spans="1:8" ht="15" customHeight="1">
      <c r="A8" s="445"/>
      <c r="B8" s="591"/>
      <c r="C8" s="98" t="s">
        <v>1968</v>
      </c>
      <c r="D8" s="102">
        <v>0</v>
      </c>
      <c r="E8" s="103"/>
      <c r="F8" s="182"/>
      <c r="G8" s="104"/>
    </row>
    <row r="9" spans="1:8" ht="15" customHeight="1">
      <c r="A9" s="445"/>
      <c r="B9" s="591"/>
      <c r="C9" s="98" t="s">
        <v>1969</v>
      </c>
      <c r="D9" s="102">
        <v>0</v>
      </c>
      <c r="E9" s="103"/>
      <c r="F9" s="182"/>
    </row>
    <row r="10" spans="1:8" ht="15" customHeight="1">
      <c r="A10" s="445"/>
      <c r="B10" s="591"/>
      <c r="C10" s="98" t="s">
        <v>1970</v>
      </c>
      <c r="D10" s="102">
        <v>0</v>
      </c>
      <c r="E10" s="103"/>
      <c r="F10" s="182"/>
    </row>
    <row r="11" spans="1:8" ht="15" customHeight="1">
      <c r="A11" s="445"/>
      <c r="B11" s="591"/>
      <c r="C11" s="98" t="s">
        <v>1971</v>
      </c>
      <c r="D11" s="102">
        <v>0</v>
      </c>
      <c r="E11" s="105">
        <v>0</v>
      </c>
      <c r="F11" s="182"/>
    </row>
    <row r="12" spans="1:8" ht="15" customHeight="1">
      <c r="A12" s="445"/>
      <c r="B12" s="591"/>
      <c r="C12" s="98" t="s">
        <v>1972</v>
      </c>
      <c r="D12" s="102">
        <v>0</v>
      </c>
      <c r="E12" s="105">
        <v>0</v>
      </c>
      <c r="F12" s="182"/>
    </row>
    <row r="13" spans="1:8" ht="15" customHeight="1">
      <c r="A13" s="445"/>
      <c r="B13" s="591"/>
      <c r="C13" s="98" t="s">
        <v>1973</v>
      </c>
      <c r="D13" s="102">
        <v>0</v>
      </c>
      <c r="E13" s="105">
        <v>0</v>
      </c>
      <c r="F13" s="182"/>
    </row>
    <row r="14" spans="1:8" ht="15" customHeight="1">
      <c r="A14" s="445"/>
      <c r="B14" s="591"/>
      <c r="C14" s="106"/>
      <c r="D14" s="102">
        <v>0</v>
      </c>
      <c r="E14" s="105">
        <v>0</v>
      </c>
      <c r="F14" s="182"/>
    </row>
    <row r="15" spans="1:8" ht="15" customHeight="1">
      <c r="A15" s="446"/>
      <c r="B15" s="593"/>
      <c r="C15" s="107"/>
      <c r="D15" s="205">
        <v>0</v>
      </c>
      <c r="E15" s="108">
        <v>0</v>
      </c>
      <c r="F15" s="182"/>
    </row>
    <row r="16" spans="1:8" ht="15" customHeight="1">
      <c r="A16" s="109"/>
      <c r="B16" s="98"/>
      <c r="C16" s="110" t="s">
        <v>1974</v>
      </c>
      <c r="D16" s="111">
        <f>SUM(D6:D15)</f>
        <v>0</v>
      </c>
      <c r="E16" s="594">
        <f>SUM(E6:E15)</f>
        <v>0</v>
      </c>
      <c r="F16" s="95"/>
    </row>
    <row r="17" spans="1:8" ht="15" customHeight="1">
      <c r="A17" s="109"/>
      <c r="B17" s="521">
        <v>6711</v>
      </c>
      <c r="C17" s="98" t="s">
        <v>1975</v>
      </c>
      <c r="D17" s="112">
        <v>0</v>
      </c>
      <c r="E17" s="113" t="s">
        <v>1976</v>
      </c>
      <c r="F17" s="114"/>
    </row>
    <row r="18" spans="1:8" ht="15" customHeight="1">
      <c r="A18" s="115"/>
      <c r="B18" s="522">
        <v>6722</v>
      </c>
      <c r="C18" s="116" t="s">
        <v>1977</v>
      </c>
      <c r="D18" s="112">
        <v>0</v>
      </c>
      <c r="E18" s="113" t="s">
        <v>1978</v>
      </c>
      <c r="F18" s="182"/>
      <c r="H18" s="117" t="s">
        <v>1979</v>
      </c>
    </row>
    <row r="19" spans="1:8" ht="15" customHeight="1">
      <c r="A19" s="115"/>
      <c r="B19" s="522">
        <v>6723</v>
      </c>
      <c r="C19" s="116" t="s">
        <v>1980</v>
      </c>
      <c r="D19" s="595">
        <v>0</v>
      </c>
      <c r="E19" s="596" t="s">
        <v>1859</v>
      </c>
      <c r="F19" s="182"/>
      <c r="H19" s="117" t="s">
        <v>1978</v>
      </c>
    </row>
    <row r="20" spans="1:8" ht="15" customHeight="1">
      <c r="A20" s="115"/>
      <c r="B20" s="116"/>
      <c r="C20" s="118" t="s">
        <v>1981</v>
      </c>
      <c r="D20" s="597">
        <f>SUM(D17:D19)</f>
        <v>0</v>
      </c>
      <c r="E20" s="598"/>
      <c r="F20" s="177"/>
      <c r="H20" s="119">
        <f>IF(E19="Yes",1,0)</f>
        <v>1</v>
      </c>
    </row>
    <row r="21" spans="1:8" ht="15" customHeight="1">
      <c r="A21" s="115"/>
      <c r="B21" s="116"/>
      <c r="C21" s="118" t="s">
        <v>1982</v>
      </c>
      <c r="D21" s="597">
        <f>D20+D16</f>
        <v>0</v>
      </c>
      <c r="E21" s="599"/>
      <c r="F21" s="177"/>
    </row>
    <row r="22" spans="1:8" ht="6" customHeight="1">
      <c r="A22" s="115"/>
      <c r="B22" s="116"/>
      <c r="C22" s="120"/>
      <c r="D22" s="121"/>
      <c r="E22" s="122"/>
      <c r="F22" s="123"/>
    </row>
    <row r="23" spans="1:8" ht="13.5" hidden="1" customHeight="1" thickBot="1">
      <c r="A23" s="124"/>
      <c r="D23" s="125"/>
      <c r="E23" s="126"/>
      <c r="F23" s="127"/>
    </row>
    <row r="24" spans="1:8" ht="15.75" customHeight="1" thickBot="1">
      <c r="A24" s="1721" t="s">
        <v>1983</v>
      </c>
      <c r="B24" s="1736"/>
      <c r="C24" s="1736"/>
      <c r="D24" s="1736"/>
      <c r="E24" s="1737"/>
      <c r="F24" s="95"/>
    </row>
    <row r="25" spans="1:8" ht="28.5" customHeight="1" thickBot="1">
      <c r="A25" s="1738" t="s">
        <v>1790</v>
      </c>
      <c r="B25" s="1739"/>
      <c r="C25" s="590" t="s">
        <v>1984</v>
      </c>
      <c r="D25" s="600" t="s">
        <v>1985</v>
      </c>
      <c r="E25" s="94" t="s">
        <v>1986</v>
      </c>
      <c r="F25" s="177"/>
      <c r="G25" s="128" t="s">
        <v>1790</v>
      </c>
      <c r="H25" s="129" t="s">
        <v>1984</v>
      </c>
    </row>
    <row r="26" spans="1:8" ht="15" customHeight="1">
      <c r="A26" s="1740"/>
      <c r="B26" s="1741"/>
      <c r="C26" s="106"/>
      <c r="D26" s="130">
        <v>0</v>
      </c>
      <c r="E26" s="131">
        <v>0</v>
      </c>
      <c r="F26" s="114"/>
      <c r="G26" s="132">
        <v>0.6</v>
      </c>
      <c r="H26" s="601" t="s">
        <v>1966</v>
      </c>
    </row>
    <row r="27" spans="1:8" ht="15" customHeight="1">
      <c r="A27" s="1742"/>
      <c r="B27" s="1743"/>
      <c r="C27" s="106"/>
      <c r="D27" s="130">
        <v>0</v>
      </c>
      <c r="E27" s="131">
        <v>0</v>
      </c>
      <c r="F27" s="182"/>
      <c r="G27" s="132">
        <v>0.55000000000000004</v>
      </c>
      <c r="H27" s="601" t="s">
        <v>1967</v>
      </c>
    </row>
    <row r="28" spans="1:8" ht="15" customHeight="1">
      <c r="A28" s="1742"/>
      <c r="B28" s="1743"/>
      <c r="C28" s="107"/>
      <c r="D28" s="602">
        <v>0</v>
      </c>
      <c r="E28" s="133">
        <v>0</v>
      </c>
      <c r="F28" s="182"/>
      <c r="G28" s="132">
        <v>0.5</v>
      </c>
      <c r="H28" s="601" t="s">
        <v>1971</v>
      </c>
    </row>
    <row r="29" spans="1:8" ht="15" customHeight="1">
      <c r="A29" s="134" t="s">
        <v>1987</v>
      </c>
      <c r="B29" s="118"/>
      <c r="C29" s="118"/>
      <c r="D29" s="603" t="s">
        <v>1988</v>
      </c>
      <c r="E29" s="135">
        <f>SUM(E26:E28)</f>
        <v>0</v>
      </c>
      <c r="F29" s="177"/>
      <c r="G29" s="97" t="s">
        <v>1798</v>
      </c>
      <c r="H29" s="601" t="s">
        <v>1972</v>
      </c>
    </row>
    <row r="30" spans="1:8" ht="18" customHeight="1">
      <c r="A30" s="1744" t="s">
        <v>1989</v>
      </c>
      <c r="B30" s="1745"/>
      <c r="C30" s="1745"/>
      <c r="D30" s="1745"/>
      <c r="E30" s="1745"/>
      <c r="F30" s="1746"/>
      <c r="G30" s="97" t="s">
        <v>1822</v>
      </c>
      <c r="H30" s="601" t="s">
        <v>1973</v>
      </c>
    </row>
    <row r="31" spans="1:8" ht="15.75" customHeight="1">
      <c r="A31" s="1721" t="s">
        <v>1990</v>
      </c>
      <c r="B31" s="1722"/>
      <c r="C31" s="518" t="s">
        <v>1991</v>
      </c>
      <c r="D31" s="604" t="s">
        <v>1992</v>
      </c>
      <c r="E31" s="519" t="s">
        <v>1993</v>
      </c>
      <c r="F31" s="179" t="s">
        <v>1960</v>
      </c>
      <c r="H31" s="601" t="s">
        <v>1994</v>
      </c>
    </row>
    <row r="32" spans="1:8" ht="15" customHeight="1">
      <c r="A32" s="1726" t="s">
        <v>1995</v>
      </c>
      <c r="B32" s="1727"/>
      <c r="C32" s="136" t="s">
        <v>1996</v>
      </c>
      <c r="D32" s="137"/>
      <c r="E32" s="112">
        <v>0</v>
      </c>
      <c r="F32" s="114"/>
      <c r="G32" s="138"/>
    </row>
    <row r="33" spans="1:7" ht="15" customHeight="1">
      <c r="A33" s="139"/>
      <c r="B33" s="140"/>
      <c r="C33" s="141" t="s">
        <v>1997</v>
      </c>
      <c r="D33" s="142">
        <f>'Cash Flow'!D5</f>
        <v>0</v>
      </c>
      <c r="E33" s="143"/>
      <c r="F33" s="182"/>
      <c r="G33" s="138"/>
    </row>
    <row r="34" spans="1:7" ht="15" customHeight="1">
      <c r="A34" s="144"/>
      <c r="B34" s="605"/>
      <c r="C34" s="145" t="s">
        <v>1998</v>
      </c>
      <c r="D34" s="146">
        <f>'Cash Flow'!D6</f>
        <v>0</v>
      </c>
      <c r="E34" s="606"/>
      <c r="F34" s="182"/>
      <c r="G34" s="138"/>
    </row>
    <row r="35" spans="1:7" ht="15" customHeight="1">
      <c r="A35" s="1713">
        <v>5121</v>
      </c>
      <c r="B35" s="1714"/>
      <c r="C35" s="147" t="s">
        <v>1999</v>
      </c>
      <c r="D35" s="1711"/>
      <c r="E35" s="1712"/>
      <c r="F35" s="182"/>
      <c r="G35" s="138"/>
    </row>
    <row r="36" spans="1:7" ht="15" customHeight="1">
      <c r="A36" s="139"/>
      <c r="B36" s="140"/>
      <c r="C36" s="141" t="str">
        <f>'Award, Match, and Revenue'!M3</f>
        <v>Subsidy Program #1 Name</v>
      </c>
      <c r="D36" s="148">
        <f>'Award, Match, and Revenue'!N26</f>
        <v>0</v>
      </c>
      <c r="E36" s="394"/>
      <c r="F36" s="182"/>
      <c r="G36" s="138"/>
    </row>
    <row r="37" spans="1:7" ht="15" customHeight="1">
      <c r="A37" s="144"/>
      <c r="B37" s="605"/>
      <c r="C37" s="145" t="str">
        <f>'Award, Match, and Revenue'!O3</f>
        <v>Subsidy Program #2 Name</v>
      </c>
      <c r="D37" s="149">
        <f>'Award, Match, and Revenue'!P26</f>
        <v>0</v>
      </c>
      <c r="E37" s="607"/>
      <c r="F37" s="182"/>
      <c r="G37" s="138"/>
    </row>
    <row r="38" spans="1:7" ht="15" customHeight="1">
      <c r="A38" s="1719"/>
      <c r="B38" s="1725"/>
      <c r="C38" s="197" t="s">
        <v>2000</v>
      </c>
      <c r="D38" s="608">
        <v>0</v>
      </c>
      <c r="E38" s="150"/>
      <c r="F38" s="182"/>
      <c r="G38" s="138"/>
    </row>
    <row r="39" spans="1:7" ht="15" customHeight="1">
      <c r="A39" s="1715"/>
      <c r="B39" s="1716"/>
      <c r="C39" s="197" t="s">
        <v>2000</v>
      </c>
      <c r="D39" s="608">
        <v>0</v>
      </c>
      <c r="E39" s="609">
        <v>0</v>
      </c>
      <c r="F39" s="182"/>
      <c r="G39" s="138"/>
    </row>
    <row r="40" spans="1:7" ht="15" customHeight="1">
      <c r="A40" s="1715">
        <v>5910</v>
      </c>
      <c r="B40" s="1716"/>
      <c r="C40" s="180" t="s">
        <v>2001</v>
      </c>
      <c r="D40" s="608">
        <v>0</v>
      </c>
      <c r="E40" s="150"/>
      <c r="F40" s="182"/>
      <c r="G40" s="138"/>
    </row>
    <row r="41" spans="1:7" ht="15" customHeight="1">
      <c r="A41" s="1715">
        <v>5170</v>
      </c>
      <c r="B41" s="1716"/>
      <c r="C41" s="180" t="s">
        <v>2002</v>
      </c>
      <c r="D41" s="608">
        <v>0</v>
      </c>
      <c r="E41" s="151">
        <v>0</v>
      </c>
      <c r="F41" s="182"/>
      <c r="G41" s="138"/>
    </row>
    <row r="42" spans="1:7" ht="15" customHeight="1">
      <c r="A42" s="1715">
        <v>5990</v>
      </c>
      <c r="B42" s="1716"/>
      <c r="C42" s="180" t="s">
        <v>2003</v>
      </c>
      <c r="D42" s="608">
        <v>0</v>
      </c>
      <c r="E42" s="151">
        <v>0</v>
      </c>
      <c r="F42" s="182"/>
      <c r="G42" s="138"/>
    </row>
    <row r="43" spans="1:7" ht="15" customHeight="1">
      <c r="A43" s="115"/>
      <c r="B43" s="523"/>
      <c r="C43" s="118" t="s">
        <v>2004</v>
      </c>
      <c r="D43" s="610">
        <f>SUM(D32:D42)</f>
        <v>0</v>
      </c>
      <c r="E43" s="152">
        <f>SUM(E32:E42)</f>
        <v>0</v>
      </c>
      <c r="F43" s="177"/>
      <c r="G43" s="138"/>
    </row>
    <row r="44" spans="1:7" ht="6" customHeight="1">
      <c r="A44" s="115"/>
      <c r="B44" s="523"/>
      <c r="C44" s="153"/>
      <c r="D44" s="154"/>
      <c r="E44" s="155"/>
      <c r="F44" s="123"/>
      <c r="G44" s="138"/>
    </row>
    <row r="45" spans="1:7" ht="15" customHeight="1">
      <c r="A45" s="109"/>
      <c r="B45" s="605"/>
      <c r="C45" s="91" t="s">
        <v>2005</v>
      </c>
      <c r="D45" s="156">
        <v>0.05</v>
      </c>
      <c r="E45" s="607"/>
      <c r="F45" s="114"/>
      <c r="G45" s="138"/>
    </row>
    <row r="46" spans="1:7" ht="15" customHeight="1">
      <c r="A46" s="1719"/>
      <c r="B46" s="1725"/>
      <c r="C46" s="180" t="s">
        <v>2006</v>
      </c>
      <c r="D46" s="611">
        <v>0.05</v>
      </c>
      <c r="E46" s="150"/>
      <c r="F46" s="114"/>
      <c r="G46" s="138"/>
    </row>
    <row r="47" spans="1:7" ht="15" customHeight="1">
      <c r="A47" s="1719"/>
      <c r="B47" s="1725"/>
      <c r="C47" s="180" t="s">
        <v>2007</v>
      </c>
      <c r="D47" s="611">
        <v>0.05</v>
      </c>
      <c r="E47" s="150"/>
      <c r="F47" s="114"/>
      <c r="G47" s="138"/>
    </row>
    <row r="48" spans="1:7" ht="15" customHeight="1">
      <c r="A48" s="1719"/>
      <c r="B48" s="1725"/>
      <c r="C48" s="180" t="str">
        <f>"Vacancy Rate:  " &amp; C39</f>
        <v>Vacancy Rate:  Operating Subsidy: (specify)</v>
      </c>
      <c r="D48" s="611">
        <v>0.05</v>
      </c>
      <c r="E48" s="150"/>
      <c r="F48" s="114"/>
      <c r="G48" s="138"/>
    </row>
    <row r="49" spans="1:7" ht="15" customHeight="1">
      <c r="A49" s="1719"/>
      <c r="B49" s="1725"/>
      <c r="C49" s="180" t="s">
        <v>2008</v>
      </c>
      <c r="D49" s="611">
        <v>0.05</v>
      </c>
      <c r="E49" s="150"/>
      <c r="F49" s="114"/>
      <c r="G49" s="138"/>
    </row>
    <row r="50" spans="1:7" ht="15" customHeight="1">
      <c r="A50" s="1719"/>
      <c r="B50" s="1725"/>
      <c r="C50" s="180" t="s">
        <v>2009</v>
      </c>
      <c r="D50" s="612"/>
      <c r="E50" s="157">
        <v>0.5</v>
      </c>
      <c r="F50" s="114"/>
      <c r="G50" s="138"/>
    </row>
    <row r="51" spans="1:7" ht="15" customHeight="1">
      <c r="A51" s="1715" t="s">
        <v>2010</v>
      </c>
      <c r="B51" s="1716"/>
      <c r="C51" s="180" t="s">
        <v>2011</v>
      </c>
      <c r="D51" s="613">
        <f>(D33*D45)+(D34*D46)+((D36+D37)*D47)+(D39*D48)+((D40+D41+D42)*D49)</f>
        <v>0</v>
      </c>
      <c r="E51" s="158">
        <f>+E43*E50</f>
        <v>0</v>
      </c>
      <c r="F51" s="614"/>
      <c r="G51" s="138"/>
    </row>
    <row r="52" spans="1:7" ht="15" customHeight="1">
      <c r="A52" s="115"/>
      <c r="B52" s="116"/>
      <c r="C52" s="118" t="s">
        <v>2012</v>
      </c>
      <c r="D52" s="615">
        <f>+D43-D51</f>
        <v>0</v>
      </c>
      <c r="E52" s="159">
        <f>+E43-E51</f>
        <v>0</v>
      </c>
      <c r="F52" s="177"/>
      <c r="G52" s="138"/>
    </row>
    <row r="53" spans="1:7" ht="15" customHeight="1">
      <c r="A53" s="1723" t="s">
        <v>1990</v>
      </c>
      <c r="B53" s="1724"/>
      <c r="C53" s="604" t="s">
        <v>2013</v>
      </c>
      <c r="D53" s="160" t="s">
        <v>1992</v>
      </c>
      <c r="E53" s="616" t="s">
        <v>1993</v>
      </c>
      <c r="F53" s="161" t="s">
        <v>1960</v>
      </c>
      <c r="G53" s="138"/>
    </row>
    <row r="54" spans="1:7" ht="15.75" hidden="1" customHeight="1">
      <c r="A54" s="162"/>
      <c r="B54" s="163"/>
      <c r="C54" s="90"/>
      <c r="D54" s="164"/>
      <c r="E54" s="165"/>
      <c r="F54" s="166"/>
      <c r="G54" s="138"/>
    </row>
    <row r="55" spans="1:7" ht="15" customHeight="1">
      <c r="A55" s="109"/>
      <c r="B55" s="98" t="s">
        <v>1987</v>
      </c>
      <c r="C55" s="167" t="s">
        <v>2014</v>
      </c>
      <c r="D55" s="168"/>
      <c r="E55" s="617"/>
      <c r="F55" s="177"/>
      <c r="G55" s="138"/>
    </row>
    <row r="56" spans="1:7" ht="15" customHeight="1">
      <c r="A56" s="1717">
        <v>6203</v>
      </c>
      <c r="B56" s="1718"/>
      <c r="C56" s="91" t="s">
        <v>2015</v>
      </c>
      <c r="D56" s="169">
        <v>0</v>
      </c>
      <c r="E56" s="609">
        <v>0</v>
      </c>
      <c r="F56" s="114"/>
      <c r="G56" s="138"/>
    </row>
    <row r="57" spans="1:7" ht="15" customHeight="1">
      <c r="A57" s="1715">
        <v>6210</v>
      </c>
      <c r="B57" s="1716"/>
      <c r="C57" s="180" t="s">
        <v>2016</v>
      </c>
      <c r="D57" s="183">
        <v>0</v>
      </c>
      <c r="E57" s="151">
        <v>0</v>
      </c>
      <c r="F57" s="182"/>
      <c r="G57" s="138"/>
    </row>
    <row r="58" spans="1:7" ht="15" customHeight="1">
      <c r="A58" s="1715">
        <v>6250</v>
      </c>
      <c r="B58" s="1716"/>
      <c r="C58" s="180" t="s">
        <v>2017</v>
      </c>
      <c r="D58" s="183">
        <v>0</v>
      </c>
      <c r="E58" s="151">
        <v>0</v>
      </c>
      <c r="F58" s="182"/>
      <c r="G58" s="138"/>
    </row>
    <row r="59" spans="1:7" ht="15" customHeight="1">
      <c r="A59" s="1715">
        <v>6310</v>
      </c>
      <c r="B59" s="1716"/>
      <c r="C59" s="180" t="s">
        <v>2018</v>
      </c>
      <c r="D59" s="176">
        <f>D12</f>
        <v>0</v>
      </c>
      <c r="E59" s="151">
        <v>0</v>
      </c>
      <c r="F59" s="182"/>
      <c r="G59" s="138"/>
    </row>
    <row r="60" spans="1:7" ht="15" customHeight="1">
      <c r="A60" s="1715">
        <v>6311</v>
      </c>
      <c r="B60" s="1716"/>
      <c r="C60" s="180" t="s">
        <v>2019</v>
      </c>
      <c r="D60" s="183">
        <v>0</v>
      </c>
      <c r="E60" s="151">
        <v>0</v>
      </c>
      <c r="F60" s="182"/>
      <c r="G60" s="138"/>
    </row>
    <row r="61" spans="1:7" ht="15" customHeight="1">
      <c r="A61" s="1715">
        <v>6312</v>
      </c>
      <c r="B61" s="1716"/>
      <c r="C61" s="180" t="s">
        <v>2020</v>
      </c>
      <c r="D61" s="183">
        <v>0</v>
      </c>
      <c r="E61" s="151">
        <v>0</v>
      </c>
      <c r="F61" s="182"/>
      <c r="G61" s="138"/>
    </row>
    <row r="62" spans="1:7" ht="15" customHeight="1">
      <c r="A62" s="1715">
        <v>6320</v>
      </c>
      <c r="B62" s="1716"/>
      <c r="C62" s="180" t="s">
        <v>2021</v>
      </c>
      <c r="D62" s="183">
        <v>0</v>
      </c>
      <c r="E62" s="151">
        <v>0</v>
      </c>
      <c r="F62" s="182"/>
      <c r="G62" s="138"/>
    </row>
    <row r="63" spans="1:7" ht="15" customHeight="1">
      <c r="A63" s="1715">
        <v>6330</v>
      </c>
      <c r="B63" s="1716"/>
      <c r="C63" s="180" t="s">
        <v>2022</v>
      </c>
      <c r="D63" s="176">
        <f>D6+D7</f>
        <v>0</v>
      </c>
      <c r="E63" s="151">
        <v>0</v>
      </c>
      <c r="F63" s="182"/>
      <c r="G63" s="138"/>
    </row>
    <row r="64" spans="1:7" ht="15" customHeight="1">
      <c r="A64" s="1715">
        <v>6331</v>
      </c>
      <c r="B64" s="1716"/>
      <c r="C64" s="180" t="s">
        <v>2023</v>
      </c>
      <c r="D64" s="176">
        <f>IF(H20=1,E6+E7+E12,0)</f>
        <v>0</v>
      </c>
      <c r="E64" s="151">
        <v>0</v>
      </c>
      <c r="F64" s="182"/>
      <c r="G64" s="138"/>
    </row>
    <row r="65" spans="1:7" ht="15" customHeight="1">
      <c r="A65" s="1715">
        <v>6340</v>
      </c>
      <c r="B65" s="1716"/>
      <c r="C65" s="180" t="s">
        <v>2024</v>
      </c>
      <c r="D65" s="183">
        <v>0</v>
      </c>
      <c r="E65" s="151">
        <v>0</v>
      </c>
      <c r="F65" s="182"/>
      <c r="G65" s="138"/>
    </row>
    <row r="66" spans="1:7" ht="15" customHeight="1">
      <c r="A66" s="1715">
        <v>6350</v>
      </c>
      <c r="B66" s="1716"/>
      <c r="C66" s="180" t="s">
        <v>2025</v>
      </c>
      <c r="D66" s="183">
        <v>0</v>
      </c>
      <c r="E66" s="151">
        <v>0</v>
      </c>
      <c r="F66" s="182"/>
      <c r="G66" s="138"/>
    </row>
    <row r="67" spans="1:7" ht="15" customHeight="1">
      <c r="A67" s="1715">
        <v>6351</v>
      </c>
      <c r="B67" s="1716"/>
      <c r="C67" s="180" t="s">
        <v>2026</v>
      </c>
      <c r="D67" s="183">
        <v>0</v>
      </c>
      <c r="E67" s="151">
        <v>0</v>
      </c>
      <c r="F67" s="182"/>
      <c r="G67" s="138"/>
    </row>
    <row r="68" spans="1:7" ht="15" customHeight="1">
      <c r="A68" s="1715">
        <v>6390</v>
      </c>
      <c r="B68" s="1716"/>
      <c r="C68" s="180" t="s">
        <v>2027</v>
      </c>
      <c r="D68" s="183">
        <v>0</v>
      </c>
      <c r="E68" s="151">
        <v>0</v>
      </c>
      <c r="F68" s="182"/>
      <c r="G68" s="138"/>
    </row>
    <row r="69" spans="1:7" ht="15" customHeight="1">
      <c r="A69" s="1715" t="s">
        <v>2028</v>
      </c>
      <c r="B69" s="1716"/>
      <c r="C69" s="184" t="s">
        <v>2029</v>
      </c>
      <c r="D69" s="176">
        <f>SUM(D56:D68)</f>
        <v>0</v>
      </c>
      <c r="E69" s="170">
        <f>SUM(E56:E68)</f>
        <v>0</v>
      </c>
      <c r="F69" s="177"/>
      <c r="G69" s="138"/>
    </row>
    <row r="70" spans="1:7" ht="15" customHeight="1">
      <c r="A70" s="1721" t="s">
        <v>1990</v>
      </c>
      <c r="B70" s="1722"/>
      <c r="C70" s="604" t="s">
        <v>2013</v>
      </c>
      <c r="D70" s="604" t="s">
        <v>1992</v>
      </c>
      <c r="E70" s="519" t="s">
        <v>1993</v>
      </c>
      <c r="F70" s="179" t="s">
        <v>1960</v>
      </c>
      <c r="G70" s="138"/>
    </row>
    <row r="71" spans="1:7" ht="15" customHeight="1">
      <c r="A71" s="115"/>
      <c r="B71" s="116"/>
      <c r="C71" s="153" t="s">
        <v>2030</v>
      </c>
      <c r="D71" s="178"/>
      <c r="E71" s="171"/>
      <c r="F71" s="177"/>
      <c r="G71" s="138"/>
    </row>
    <row r="72" spans="1:7" ht="15" customHeight="1">
      <c r="A72" s="1717">
        <v>6450</v>
      </c>
      <c r="B72" s="1718"/>
      <c r="C72" s="91" t="s">
        <v>2031</v>
      </c>
      <c r="D72" s="169">
        <v>0</v>
      </c>
      <c r="E72" s="609">
        <v>0</v>
      </c>
      <c r="F72" s="114"/>
      <c r="G72" s="138"/>
    </row>
    <row r="73" spans="1:7" ht="15" customHeight="1">
      <c r="A73" s="1715">
        <v>6451</v>
      </c>
      <c r="B73" s="1716"/>
      <c r="C73" s="180" t="s">
        <v>2032</v>
      </c>
      <c r="D73" s="183">
        <v>0</v>
      </c>
      <c r="E73" s="151">
        <v>0</v>
      </c>
      <c r="F73" s="182"/>
      <c r="G73" s="138"/>
    </row>
    <row r="74" spans="1:7" ht="15" customHeight="1">
      <c r="A74" s="1715">
        <v>6452</v>
      </c>
      <c r="B74" s="1716"/>
      <c r="C74" s="180" t="s">
        <v>2033</v>
      </c>
      <c r="D74" s="183">
        <v>0</v>
      </c>
      <c r="E74" s="151">
        <v>0</v>
      </c>
      <c r="F74" s="182"/>
      <c r="G74" s="138"/>
    </row>
    <row r="75" spans="1:7" ht="15" customHeight="1">
      <c r="A75" s="1715">
        <v>6453</v>
      </c>
      <c r="B75" s="1716"/>
      <c r="C75" s="180" t="s">
        <v>2034</v>
      </c>
      <c r="D75" s="183">
        <v>0</v>
      </c>
      <c r="E75" s="151">
        <v>0</v>
      </c>
      <c r="F75" s="182"/>
      <c r="G75" s="138"/>
    </row>
    <row r="76" spans="1:7" ht="15" customHeight="1">
      <c r="A76" s="1715"/>
      <c r="B76" s="1716"/>
      <c r="C76" s="197" t="s">
        <v>2035</v>
      </c>
      <c r="D76" s="183">
        <v>0</v>
      </c>
      <c r="E76" s="151">
        <v>0</v>
      </c>
      <c r="F76" s="182"/>
      <c r="G76" s="138"/>
    </row>
    <row r="77" spans="1:7" ht="15" customHeight="1">
      <c r="A77" s="1715" t="s">
        <v>2036</v>
      </c>
      <c r="B77" s="1716"/>
      <c r="C77" s="184" t="s">
        <v>2037</v>
      </c>
      <c r="D77" s="176">
        <f>SUM(D72:D76)</f>
        <v>0</v>
      </c>
      <c r="E77" s="158">
        <f>SUM(E72:E76)</f>
        <v>0</v>
      </c>
      <c r="F77" s="177"/>
      <c r="G77" s="138"/>
    </row>
    <row r="78" spans="1:7" ht="15" customHeight="1">
      <c r="A78" s="115"/>
      <c r="B78" s="523"/>
      <c r="C78" s="153" t="s">
        <v>2038</v>
      </c>
      <c r="D78" s="178"/>
      <c r="E78" s="172"/>
      <c r="F78" s="179" t="s">
        <v>1960</v>
      </c>
      <c r="G78" s="138"/>
    </row>
    <row r="79" spans="1:7" ht="15" customHeight="1">
      <c r="A79" s="1717">
        <v>6510</v>
      </c>
      <c r="B79" s="1718"/>
      <c r="C79" s="91" t="s">
        <v>2039</v>
      </c>
      <c r="D79" s="173">
        <f>D11+D13+D14+D15</f>
        <v>0</v>
      </c>
      <c r="E79" s="609">
        <v>0</v>
      </c>
      <c r="F79" s="114"/>
      <c r="G79" s="138"/>
    </row>
    <row r="80" spans="1:7" ht="15" customHeight="1">
      <c r="A80" s="1715">
        <v>6515</v>
      </c>
      <c r="B80" s="1716"/>
      <c r="C80" s="180" t="s">
        <v>2040</v>
      </c>
      <c r="D80" s="183">
        <v>0</v>
      </c>
      <c r="E80" s="151">
        <v>0</v>
      </c>
      <c r="F80" s="182"/>
      <c r="G80" s="138"/>
    </row>
    <row r="81" spans="1:7" ht="15" customHeight="1">
      <c r="A81" s="1715">
        <v>6520</v>
      </c>
      <c r="B81" s="1716"/>
      <c r="C81" s="199" t="s">
        <v>2041</v>
      </c>
      <c r="D81" s="183">
        <v>0</v>
      </c>
      <c r="E81" s="151">
        <v>0</v>
      </c>
      <c r="F81" s="182"/>
      <c r="G81" s="138"/>
    </row>
    <row r="82" spans="1:7" ht="15" customHeight="1">
      <c r="A82" s="1715">
        <v>6521</v>
      </c>
      <c r="B82" s="1716"/>
      <c r="C82" s="180" t="s">
        <v>2042</v>
      </c>
      <c r="D82" s="176">
        <f>IF(H20=1,E11+E14+E15,0)</f>
        <v>0</v>
      </c>
      <c r="E82" s="151">
        <v>0</v>
      </c>
      <c r="F82" s="182"/>
      <c r="G82" s="138"/>
    </row>
    <row r="83" spans="1:7" ht="15" customHeight="1">
      <c r="A83" s="1715">
        <v>6525</v>
      </c>
      <c r="B83" s="1716"/>
      <c r="C83" s="180" t="s">
        <v>2043</v>
      </c>
      <c r="D83" s="183">
        <v>0</v>
      </c>
      <c r="E83" s="151">
        <v>0</v>
      </c>
      <c r="F83" s="182"/>
      <c r="G83" s="138"/>
    </row>
    <row r="84" spans="1:7" ht="15" customHeight="1">
      <c r="A84" s="1715">
        <v>6530</v>
      </c>
      <c r="B84" s="1716"/>
      <c r="C84" s="180" t="s">
        <v>2044</v>
      </c>
      <c r="D84" s="183">
        <v>0</v>
      </c>
      <c r="E84" s="151">
        <v>0</v>
      </c>
      <c r="F84" s="182"/>
      <c r="G84" s="138"/>
    </row>
    <row r="85" spans="1:7" ht="15" customHeight="1">
      <c r="A85" s="174">
        <v>6531</v>
      </c>
      <c r="B85" s="618"/>
      <c r="C85" s="180" t="s">
        <v>2045</v>
      </c>
      <c r="D85" s="176">
        <f>IF(H20=1,E13,0)</f>
        <v>0</v>
      </c>
      <c r="E85" s="151">
        <v>0</v>
      </c>
      <c r="F85" s="182"/>
      <c r="G85" s="138"/>
    </row>
    <row r="86" spans="1:7" ht="15" customHeight="1">
      <c r="A86" s="1715">
        <v>6546</v>
      </c>
      <c r="B86" s="1716"/>
      <c r="C86" s="180" t="s">
        <v>2046</v>
      </c>
      <c r="D86" s="183">
        <v>0</v>
      </c>
      <c r="E86" s="151">
        <v>0</v>
      </c>
      <c r="F86" s="182"/>
      <c r="G86" s="138"/>
    </row>
    <row r="87" spans="1:7" ht="15" customHeight="1">
      <c r="A87" s="1715">
        <v>6548</v>
      </c>
      <c r="B87" s="1716"/>
      <c r="C87" s="180" t="s">
        <v>2047</v>
      </c>
      <c r="D87" s="183">
        <v>0</v>
      </c>
      <c r="E87" s="151">
        <v>0</v>
      </c>
      <c r="F87" s="182"/>
      <c r="G87" s="138"/>
    </row>
    <row r="88" spans="1:7" ht="15" customHeight="1">
      <c r="A88" s="1715">
        <v>6570</v>
      </c>
      <c r="B88" s="1716"/>
      <c r="C88" s="180" t="s">
        <v>2048</v>
      </c>
      <c r="D88" s="183">
        <v>0</v>
      </c>
      <c r="E88" s="151">
        <v>0</v>
      </c>
      <c r="F88" s="182"/>
      <c r="G88" s="138"/>
    </row>
    <row r="89" spans="1:7" ht="15" customHeight="1">
      <c r="A89" s="1715">
        <v>6590</v>
      </c>
      <c r="B89" s="1716"/>
      <c r="C89" s="180" t="s">
        <v>2049</v>
      </c>
      <c r="D89" s="183">
        <v>0</v>
      </c>
      <c r="E89" s="151">
        <v>0</v>
      </c>
      <c r="F89" s="182"/>
      <c r="G89" s="138"/>
    </row>
    <row r="90" spans="1:7" ht="15" customHeight="1">
      <c r="A90" s="1719" t="s">
        <v>2050</v>
      </c>
      <c r="B90" s="1720"/>
      <c r="C90" s="175" t="s">
        <v>2051</v>
      </c>
      <c r="D90" s="176">
        <f>SUM(D79:D89)</f>
        <v>0</v>
      </c>
      <c r="E90" s="158">
        <f>SUM(E79:E89)</f>
        <v>0</v>
      </c>
      <c r="F90" s="177"/>
      <c r="G90" s="138"/>
    </row>
    <row r="91" spans="1:7" ht="15" customHeight="1">
      <c r="A91" s="115"/>
      <c r="B91" s="523"/>
      <c r="C91" s="153" t="s">
        <v>2052</v>
      </c>
      <c r="D91" s="178"/>
      <c r="E91" s="172"/>
      <c r="F91" s="179" t="s">
        <v>1960</v>
      </c>
      <c r="G91" s="138"/>
    </row>
    <row r="92" spans="1:7" ht="15" customHeight="1">
      <c r="A92" s="1717">
        <v>6710</v>
      </c>
      <c r="B92" s="1718"/>
      <c r="C92" s="91" t="s">
        <v>2053</v>
      </c>
      <c r="D92" s="169">
        <v>0</v>
      </c>
      <c r="E92" s="609">
        <v>0</v>
      </c>
      <c r="F92" s="114"/>
      <c r="G92" s="138"/>
    </row>
    <row r="93" spans="1:7" ht="15" customHeight="1">
      <c r="A93" s="1715">
        <v>6711</v>
      </c>
      <c r="B93" s="1716"/>
      <c r="C93" s="180" t="s">
        <v>2054</v>
      </c>
      <c r="D93" s="181">
        <f>D17</f>
        <v>0</v>
      </c>
      <c r="E93" s="609">
        <v>0</v>
      </c>
      <c r="F93" s="182"/>
      <c r="G93" s="138"/>
    </row>
    <row r="94" spans="1:7" ht="15" customHeight="1">
      <c r="A94" s="1715">
        <v>6720</v>
      </c>
      <c r="B94" s="1716"/>
      <c r="C94" s="180" t="s">
        <v>2055</v>
      </c>
      <c r="D94" s="169">
        <v>0</v>
      </c>
      <c r="E94" s="609">
        <v>0</v>
      </c>
      <c r="F94" s="182"/>
      <c r="G94" s="138"/>
    </row>
    <row r="95" spans="1:7" ht="15" customHeight="1">
      <c r="A95" s="1715">
        <v>6729</v>
      </c>
      <c r="B95" s="1716"/>
      <c r="C95" s="180" t="s">
        <v>2056</v>
      </c>
      <c r="D95" s="169">
        <v>0</v>
      </c>
      <c r="E95" s="609">
        <v>0</v>
      </c>
      <c r="F95" s="182"/>
      <c r="G95" s="138"/>
    </row>
    <row r="96" spans="1:7" ht="15" customHeight="1">
      <c r="A96" s="1715">
        <v>6721</v>
      </c>
      <c r="B96" s="1716"/>
      <c r="C96" s="180" t="s">
        <v>2057</v>
      </c>
      <c r="D96" s="169">
        <v>0</v>
      </c>
      <c r="E96" s="609">
        <v>0</v>
      </c>
      <c r="F96" s="182"/>
      <c r="G96" s="138"/>
    </row>
    <row r="97" spans="1:7" ht="15" customHeight="1">
      <c r="A97" s="1715">
        <v>6722</v>
      </c>
      <c r="B97" s="1716"/>
      <c r="C97" s="180" t="s">
        <v>2058</v>
      </c>
      <c r="D97" s="181">
        <f>D18</f>
        <v>0</v>
      </c>
      <c r="E97" s="609">
        <v>0</v>
      </c>
      <c r="F97" s="182"/>
      <c r="G97" s="138"/>
    </row>
    <row r="98" spans="1:7" ht="15" customHeight="1">
      <c r="A98" s="1715">
        <v>6723</v>
      </c>
      <c r="B98" s="1716"/>
      <c r="C98" s="180" t="s">
        <v>2059</v>
      </c>
      <c r="D98" s="181">
        <f>D19</f>
        <v>0</v>
      </c>
      <c r="E98" s="609">
        <v>0</v>
      </c>
      <c r="F98" s="182"/>
      <c r="G98" s="138"/>
    </row>
    <row r="99" spans="1:7" ht="15" customHeight="1">
      <c r="A99" s="1715">
        <v>6790</v>
      </c>
      <c r="B99" s="1716"/>
      <c r="C99" s="180" t="s">
        <v>2060</v>
      </c>
      <c r="D99" s="183">
        <v>0</v>
      </c>
      <c r="E99" s="151">
        <v>0</v>
      </c>
      <c r="F99" s="182"/>
      <c r="G99" s="138"/>
    </row>
    <row r="100" spans="1:7" ht="15" customHeight="1">
      <c r="A100" s="1715" t="s">
        <v>2061</v>
      </c>
      <c r="B100" s="1716"/>
      <c r="C100" s="184" t="s">
        <v>2062</v>
      </c>
      <c r="D100" s="176">
        <f>SUM(D92:D99)</f>
        <v>0</v>
      </c>
      <c r="E100" s="158">
        <f>SUM(E92:E99)</f>
        <v>0</v>
      </c>
      <c r="F100" s="177"/>
      <c r="G100" s="138"/>
    </row>
    <row r="101" spans="1:7" ht="15" customHeight="1">
      <c r="A101" s="115"/>
      <c r="B101" s="523"/>
      <c r="C101" s="153" t="s">
        <v>2063</v>
      </c>
      <c r="D101" s="178"/>
      <c r="E101" s="172"/>
      <c r="F101" s="179" t="s">
        <v>1960</v>
      </c>
      <c r="G101" s="185"/>
    </row>
    <row r="102" spans="1:7" ht="15" customHeight="1">
      <c r="A102" s="1717">
        <v>6990</v>
      </c>
      <c r="B102" s="1718"/>
      <c r="C102" s="91" t="s">
        <v>2064</v>
      </c>
      <c r="D102" s="173">
        <f>D8</f>
        <v>0</v>
      </c>
      <c r="E102" s="609">
        <v>0</v>
      </c>
      <c r="F102" s="114"/>
      <c r="G102" s="186"/>
    </row>
    <row r="103" spans="1:7" ht="15" customHeight="1">
      <c r="A103" s="1715">
        <v>6990</v>
      </c>
      <c r="B103" s="1716"/>
      <c r="C103" s="180" t="s">
        <v>2065</v>
      </c>
      <c r="D103" s="173">
        <f>D9</f>
        <v>0</v>
      </c>
      <c r="E103" s="609">
        <v>0</v>
      </c>
      <c r="F103" s="182"/>
      <c r="G103" s="187"/>
    </row>
    <row r="104" spans="1:7" ht="15" customHeight="1">
      <c r="A104" s="1715">
        <v>6990</v>
      </c>
      <c r="B104" s="1716"/>
      <c r="C104" s="180" t="s">
        <v>2066</v>
      </c>
      <c r="D104" s="173">
        <f>D10</f>
        <v>0</v>
      </c>
      <c r="E104" s="609">
        <v>0</v>
      </c>
      <c r="F104" s="182"/>
      <c r="G104" s="187"/>
    </row>
    <row r="105" spans="1:7" ht="15" customHeight="1">
      <c r="A105" s="1715">
        <v>6990</v>
      </c>
      <c r="B105" s="1716"/>
      <c r="C105" s="180" t="s">
        <v>2067</v>
      </c>
      <c r="D105" s="169">
        <v>0</v>
      </c>
      <c r="E105" s="609">
        <v>0</v>
      </c>
      <c r="F105" s="182"/>
      <c r="G105" s="186"/>
    </row>
    <row r="106" spans="1:7" ht="15" customHeight="1">
      <c r="A106" s="1715">
        <v>6990</v>
      </c>
      <c r="B106" s="1716"/>
      <c r="C106" s="188" t="s">
        <v>2068</v>
      </c>
      <c r="D106" s="169">
        <v>0</v>
      </c>
      <c r="E106" s="151">
        <v>0</v>
      </c>
      <c r="F106" s="182"/>
      <c r="G106" s="189"/>
    </row>
    <row r="107" spans="1:7" ht="15" customHeight="1">
      <c r="A107" s="1715">
        <v>6990</v>
      </c>
      <c r="B107" s="1716"/>
      <c r="C107" s="188" t="s">
        <v>2068</v>
      </c>
      <c r="D107" s="169">
        <v>0</v>
      </c>
      <c r="E107" s="151">
        <v>0</v>
      </c>
      <c r="F107" s="182"/>
      <c r="G107" s="189"/>
    </row>
    <row r="108" spans="1:7" ht="15" customHeight="1">
      <c r="A108" s="1715">
        <v>6990</v>
      </c>
      <c r="B108" s="1716"/>
      <c r="C108" s="188" t="s">
        <v>2068</v>
      </c>
      <c r="D108" s="169">
        <v>0</v>
      </c>
      <c r="E108" s="151">
        <v>0</v>
      </c>
      <c r="F108" s="182"/>
      <c r="G108" s="189"/>
    </row>
    <row r="109" spans="1:7" ht="15" customHeight="1">
      <c r="A109" s="1715">
        <v>6990</v>
      </c>
      <c r="B109" s="1716"/>
      <c r="C109" s="188" t="s">
        <v>2068</v>
      </c>
      <c r="D109" s="169">
        <v>0</v>
      </c>
      <c r="E109" s="151">
        <v>0</v>
      </c>
      <c r="F109" s="182"/>
      <c r="G109" s="189"/>
    </row>
    <row r="110" spans="1:7" ht="15" customHeight="1">
      <c r="A110" s="1715">
        <v>6990</v>
      </c>
      <c r="B110" s="1716"/>
      <c r="C110" s="188" t="s">
        <v>2068</v>
      </c>
      <c r="D110" s="183">
        <v>0</v>
      </c>
      <c r="E110" s="151">
        <v>0</v>
      </c>
      <c r="F110" s="182"/>
      <c r="G110" s="189"/>
    </row>
    <row r="111" spans="1:7" ht="15" customHeight="1">
      <c r="A111" s="1715" t="s">
        <v>2069</v>
      </c>
      <c r="B111" s="1716"/>
      <c r="C111" s="184" t="s">
        <v>2070</v>
      </c>
      <c r="D111" s="176">
        <f>SUM(D102:D110)</f>
        <v>0</v>
      </c>
      <c r="E111" s="170">
        <f>SUM(E102:E110)</f>
        <v>0</v>
      </c>
      <c r="F111" s="177"/>
      <c r="G111" s="186"/>
    </row>
    <row r="112" spans="1:7" ht="6" customHeight="1">
      <c r="A112" s="115"/>
      <c r="B112" s="523"/>
      <c r="C112" s="153"/>
      <c r="D112" s="154"/>
      <c r="E112" s="155"/>
      <c r="F112" s="123"/>
      <c r="G112" s="138"/>
    </row>
    <row r="113" spans="1:8" ht="15" customHeight="1">
      <c r="A113" s="115"/>
      <c r="B113" s="520"/>
      <c r="C113" s="190" t="s">
        <v>2071</v>
      </c>
      <c r="D113" s="191">
        <f>D69+D77+D90+D100+D111</f>
        <v>0</v>
      </c>
      <c r="E113" s="192">
        <f>E69+E77+E90+E100+E111</f>
        <v>0</v>
      </c>
      <c r="F113" s="179" t="s">
        <v>1960</v>
      </c>
      <c r="G113" s="138"/>
    </row>
    <row r="114" spans="1:8" ht="15" customHeight="1">
      <c r="A114" s="115"/>
      <c r="B114" s="523"/>
      <c r="C114" s="193" t="s">
        <v>2072</v>
      </c>
      <c r="D114" s="194" t="s">
        <v>2073</v>
      </c>
      <c r="E114" s="195" t="s">
        <v>2074</v>
      </c>
      <c r="F114" s="177"/>
      <c r="G114" s="138"/>
    </row>
    <row r="115" spans="1:8" ht="15" customHeight="1">
      <c r="A115" s="1717">
        <v>7210</v>
      </c>
      <c r="B115" s="1718"/>
      <c r="C115" s="196" t="s">
        <v>2075</v>
      </c>
      <c r="D115" s="169">
        <v>0</v>
      </c>
      <c r="E115" s="609">
        <v>0</v>
      </c>
      <c r="F115" s="114"/>
      <c r="G115" s="138"/>
    </row>
    <row r="116" spans="1:8" ht="15" customHeight="1">
      <c r="A116" s="1715">
        <v>7220</v>
      </c>
      <c r="B116" s="1716"/>
      <c r="C116" s="197" t="s">
        <v>2076</v>
      </c>
      <c r="D116" s="169">
        <v>0</v>
      </c>
      <c r="E116" s="609">
        <v>0</v>
      </c>
      <c r="F116" s="182"/>
      <c r="G116" s="138"/>
    </row>
    <row r="117" spans="1:8" ht="15" customHeight="1">
      <c r="A117" s="1715">
        <v>7230</v>
      </c>
      <c r="B117" s="1716"/>
      <c r="C117" s="197" t="s">
        <v>2076</v>
      </c>
      <c r="D117" s="169">
        <v>0</v>
      </c>
      <c r="E117" s="609">
        <v>0</v>
      </c>
      <c r="F117" s="182"/>
      <c r="G117" s="138"/>
    </row>
    <row r="118" spans="1:8" ht="15" customHeight="1">
      <c r="A118" s="1715">
        <v>7240</v>
      </c>
      <c r="B118" s="1716"/>
      <c r="C118" s="197" t="s">
        <v>2076</v>
      </c>
      <c r="D118" s="183">
        <v>0</v>
      </c>
      <c r="E118" s="151">
        <v>0</v>
      </c>
      <c r="F118" s="182"/>
      <c r="G118" s="138"/>
    </row>
    <row r="119" spans="1:8" ht="15" customHeight="1">
      <c r="A119" s="1715"/>
      <c r="B119" s="1716"/>
      <c r="C119" s="184" t="s">
        <v>2077</v>
      </c>
      <c r="D119" s="176">
        <f>SUM(D115:D118)</f>
        <v>0</v>
      </c>
      <c r="E119" s="158">
        <f>SUM(E115:E118)</f>
        <v>0</v>
      </c>
      <c r="F119" s="177"/>
      <c r="G119" s="138"/>
      <c r="H119" s="138"/>
    </row>
    <row r="120" spans="1:8" ht="15" customHeight="1">
      <c r="A120" s="115"/>
      <c r="B120" s="523"/>
      <c r="C120" s="193" t="s">
        <v>2078</v>
      </c>
      <c r="D120" s="194" t="s">
        <v>2073</v>
      </c>
      <c r="E120" s="195" t="s">
        <v>2074</v>
      </c>
      <c r="F120" s="198"/>
      <c r="G120" s="138"/>
    </row>
    <row r="121" spans="1:8" ht="15" customHeight="1">
      <c r="A121" s="1715"/>
      <c r="B121" s="1716"/>
      <c r="C121" s="199" t="s">
        <v>2078</v>
      </c>
      <c r="D121" s="183">
        <v>0</v>
      </c>
      <c r="E121" s="151">
        <v>0</v>
      </c>
      <c r="F121" s="200"/>
      <c r="G121" s="138"/>
    </row>
    <row r="122" spans="1:8" ht="15" customHeight="1">
      <c r="A122" s="1715"/>
      <c r="B122" s="1716"/>
      <c r="C122" s="184" t="s">
        <v>2079</v>
      </c>
      <c r="D122" s="176">
        <f>SUM(D121:D121)</f>
        <v>0</v>
      </c>
      <c r="E122" s="158">
        <f>SUM(E121:E121)</f>
        <v>0</v>
      </c>
      <c r="F122" s="198"/>
      <c r="G122" s="138"/>
      <c r="H122" s="138"/>
    </row>
    <row r="123" spans="1:8" ht="15" customHeight="1">
      <c r="A123" s="115"/>
      <c r="B123" s="520"/>
      <c r="C123" s="190" t="s">
        <v>2080</v>
      </c>
      <c r="D123" s="201">
        <f>D52-D113-D119-D122</f>
        <v>0</v>
      </c>
      <c r="E123" s="192">
        <f>E52-E113-E119-E122</f>
        <v>0</v>
      </c>
      <c r="F123" s="198"/>
      <c r="G123" s="138"/>
      <c r="H123" s="138"/>
    </row>
    <row r="124" spans="1:8" ht="6" customHeight="1">
      <c r="A124" s="115"/>
      <c r="B124" s="523"/>
      <c r="C124" s="153"/>
      <c r="D124" s="154"/>
      <c r="E124" s="155"/>
      <c r="F124" s="123"/>
      <c r="G124" s="138"/>
    </row>
    <row r="125" spans="1:8" ht="15" customHeight="1">
      <c r="A125" s="115"/>
      <c r="B125" s="523"/>
      <c r="C125" s="193" t="s">
        <v>2081</v>
      </c>
      <c r="D125" s="202"/>
      <c r="E125" s="172"/>
      <c r="F125" s="179" t="s">
        <v>1960</v>
      </c>
      <c r="G125" s="138"/>
    </row>
    <row r="126" spans="1:8" ht="15" customHeight="1">
      <c r="A126" s="1717">
        <v>6820</v>
      </c>
      <c r="B126" s="1718"/>
      <c r="C126" s="196" t="s">
        <v>2082</v>
      </c>
      <c r="D126" s="100">
        <v>0</v>
      </c>
      <c r="E126" s="101">
        <v>0</v>
      </c>
      <c r="F126" s="114"/>
      <c r="G126" s="138"/>
    </row>
    <row r="127" spans="1:8" ht="15" customHeight="1">
      <c r="A127" s="1715">
        <v>6830</v>
      </c>
      <c r="B127" s="1716"/>
      <c r="C127" s="199" t="s">
        <v>2083</v>
      </c>
      <c r="D127" s="102">
        <v>0</v>
      </c>
      <c r="E127" s="105">
        <v>0</v>
      </c>
      <c r="F127" s="182"/>
      <c r="G127" s="138"/>
    </row>
    <row r="128" spans="1:8" ht="15" customHeight="1">
      <c r="A128" s="1715">
        <v>6840</v>
      </c>
      <c r="B128" s="1716"/>
      <c r="C128" s="199" t="s">
        <v>2084</v>
      </c>
      <c r="D128" s="102">
        <v>0</v>
      </c>
      <c r="E128" s="105">
        <v>0</v>
      </c>
      <c r="F128" s="182"/>
      <c r="G128" s="138"/>
    </row>
    <row r="129" spans="1:7" ht="15" customHeight="1">
      <c r="A129" s="1713">
        <v>6890</v>
      </c>
      <c r="B129" s="1714"/>
      <c r="C129" s="203" t="s">
        <v>2085</v>
      </c>
      <c r="D129" s="102">
        <v>0</v>
      </c>
      <c r="E129" s="204">
        <v>0</v>
      </c>
      <c r="F129" s="182"/>
      <c r="G129" s="138"/>
    </row>
    <row r="130" spans="1:7" ht="15" customHeight="1">
      <c r="A130" s="1713">
        <v>6890</v>
      </c>
      <c r="B130" s="1714"/>
      <c r="C130" s="203" t="s">
        <v>2085</v>
      </c>
      <c r="D130" s="102">
        <v>0</v>
      </c>
      <c r="E130" s="204">
        <v>0</v>
      </c>
      <c r="F130" s="182"/>
      <c r="G130" s="138"/>
    </row>
    <row r="131" spans="1:7" ht="15" customHeight="1">
      <c r="A131" s="1713">
        <v>6890</v>
      </c>
      <c r="B131" s="1714"/>
      <c r="C131" s="203" t="s">
        <v>2085</v>
      </c>
      <c r="D131" s="102">
        <v>0</v>
      </c>
      <c r="E131" s="204">
        <v>0</v>
      </c>
      <c r="F131" s="182"/>
      <c r="G131" s="138"/>
    </row>
    <row r="132" spans="1:7" ht="15" customHeight="1">
      <c r="A132" s="1715">
        <v>6890</v>
      </c>
      <c r="B132" s="1716"/>
      <c r="C132" s="197" t="s">
        <v>2085</v>
      </c>
      <c r="D132" s="205">
        <v>0</v>
      </c>
      <c r="E132" s="151">
        <v>0</v>
      </c>
      <c r="F132" s="182"/>
      <c r="G132" s="138"/>
    </row>
    <row r="133" spans="1:7" ht="15" customHeight="1">
      <c r="A133" s="1715" t="s">
        <v>2086</v>
      </c>
      <c r="B133" s="1716"/>
      <c r="C133" s="184" t="s">
        <v>2087</v>
      </c>
      <c r="D133" s="176">
        <f>SUM(D126:D132)</f>
        <v>0</v>
      </c>
      <c r="E133" s="158">
        <f>SUM(E126:E132)</f>
        <v>0</v>
      </c>
      <c r="F133" s="177"/>
      <c r="G133" s="138"/>
    </row>
    <row r="134" spans="1:7" ht="15" customHeight="1">
      <c r="A134" s="115"/>
      <c r="B134" s="520"/>
      <c r="C134" s="190" t="s">
        <v>2088</v>
      </c>
      <c r="D134" s="201">
        <f>+D123-D133</f>
        <v>0</v>
      </c>
      <c r="E134" s="192">
        <f>+E123-E133</f>
        <v>0</v>
      </c>
      <c r="F134" s="177"/>
      <c r="G134" s="138"/>
    </row>
    <row r="135" spans="1:7" ht="6" customHeight="1">
      <c r="A135" s="115"/>
      <c r="B135" s="523"/>
      <c r="C135" s="153"/>
      <c r="D135" s="154"/>
      <c r="E135" s="155"/>
      <c r="F135" s="123"/>
      <c r="G135" s="138"/>
    </row>
    <row r="136" spans="1:7" ht="15" customHeight="1">
      <c r="A136" s="1715">
        <v>7190</v>
      </c>
      <c r="B136" s="1716"/>
      <c r="C136" s="180" t="s">
        <v>2089</v>
      </c>
      <c r="D136" s="183">
        <v>0</v>
      </c>
      <c r="E136" s="151">
        <v>0</v>
      </c>
      <c r="F136" s="182"/>
      <c r="G136" s="138"/>
    </row>
  </sheetData>
  <sheetProtection algorithmName="SHA-512" hashValue="IHT7Xhrcn2Z37oz+pzaI0BoCb8VpqAefE5pFq7TnGc7CDZDR4jInkoH21zMy1HU4Rdx0Ai5ucjkNIhkreQjqew==" saltValue="WveEspTFlwnDmWml4kh7jg==" spinCount="100000" sheet="1" objects="1" scenarios="1"/>
  <mergeCells count="93">
    <mergeCell ref="A32:B32"/>
    <mergeCell ref="A1:F1"/>
    <mergeCell ref="A2:B2"/>
    <mergeCell ref="C2:F2"/>
    <mergeCell ref="A4:E4"/>
    <mergeCell ref="A24:E24"/>
    <mergeCell ref="A25:B25"/>
    <mergeCell ref="A26:B26"/>
    <mergeCell ref="A27:B27"/>
    <mergeCell ref="A28:B28"/>
    <mergeCell ref="A30:F30"/>
    <mergeCell ref="A31:B31"/>
    <mergeCell ref="A51:B51"/>
    <mergeCell ref="A35:B35"/>
    <mergeCell ref="A38:B38"/>
    <mergeCell ref="A39:B39"/>
    <mergeCell ref="A40:B40"/>
    <mergeCell ref="A41:B41"/>
    <mergeCell ref="A42:B42"/>
    <mergeCell ref="A46:B46"/>
    <mergeCell ref="A47:B47"/>
    <mergeCell ref="A48:B48"/>
    <mergeCell ref="A49:B49"/>
    <mergeCell ref="A50:B50"/>
    <mergeCell ref="A66:B66"/>
    <mergeCell ref="A53:B53"/>
    <mergeCell ref="A56:B56"/>
    <mergeCell ref="A57:B57"/>
    <mergeCell ref="A58:B58"/>
    <mergeCell ref="A59:B59"/>
    <mergeCell ref="A60:B60"/>
    <mergeCell ref="A61:B61"/>
    <mergeCell ref="A62:B62"/>
    <mergeCell ref="A63:B63"/>
    <mergeCell ref="A64:B64"/>
    <mergeCell ref="A65:B65"/>
    <mergeCell ref="A93:B93"/>
    <mergeCell ref="A80:B80"/>
    <mergeCell ref="A67:B67"/>
    <mergeCell ref="A68:B68"/>
    <mergeCell ref="A69:B69"/>
    <mergeCell ref="A70:B70"/>
    <mergeCell ref="A72:B72"/>
    <mergeCell ref="A73:B73"/>
    <mergeCell ref="A74:B74"/>
    <mergeCell ref="A75:B75"/>
    <mergeCell ref="A76:B76"/>
    <mergeCell ref="A77:B77"/>
    <mergeCell ref="A79:B79"/>
    <mergeCell ref="A87:B87"/>
    <mergeCell ref="A88:B88"/>
    <mergeCell ref="A89:B89"/>
    <mergeCell ref="A90:B90"/>
    <mergeCell ref="A92:B92"/>
    <mergeCell ref="A81:B81"/>
    <mergeCell ref="A82:B82"/>
    <mergeCell ref="A83:B83"/>
    <mergeCell ref="A84:B84"/>
    <mergeCell ref="A86:B86"/>
    <mergeCell ref="A109:B109"/>
    <mergeCell ref="A108:B108"/>
    <mergeCell ref="A106:B106"/>
    <mergeCell ref="A107:B107"/>
    <mergeCell ref="A94:B94"/>
    <mergeCell ref="A136:B136"/>
    <mergeCell ref="A129:B129"/>
    <mergeCell ref="A111:B111"/>
    <mergeCell ref="A115:B115"/>
    <mergeCell ref="A116:B116"/>
    <mergeCell ref="A117:B117"/>
    <mergeCell ref="A118:B118"/>
    <mergeCell ref="A119:B119"/>
    <mergeCell ref="A121:B121"/>
    <mergeCell ref="A122:B122"/>
    <mergeCell ref="A126:B126"/>
    <mergeCell ref="A127:B127"/>
    <mergeCell ref="A128:B128"/>
    <mergeCell ref="D35:E35"/>
    <mergeCell ref="A130:B130"/>
    <mergeCell ref="A131:B131"/>
    <mergeCell ref="A132:B132"/>
    <mergeCell ref="A133:B133"/>
    <mergeCell ref="A110:B110"/>
    <mergeCell ref="A95:B95"/>
    <mergeCell ref="A96:B96"/>
    <mergeCell ref="A97:B97"/>
    <mergeCell ref="A98:B98"/>
    <mergeCell ref="A99:B99"/>
    <mergeCell ref="A100:B100"/>
    <mergeCell ref="A102:B102"/>
    <mergeCell ref="A103:B103"/>
    <mergeCell ref="A104:B104"/>
    <mergeCell ref="A105:B105"/>
  </mergeCells>
  <dataValidations count="3">
    <dataValidation type="list" allowBlank="1" showInputMessage="1" showErrorMessage="1" sqref="A26:B28" xr:uid="{C759DACB-7DB5-4026-A62F-69679AF578F4}">
      <formula1>$G$26:$G$30</formula1>
    </dataValidation>
    <dataValidation type="list" allowBlank="1" showInputMessage="1" showErrorMessage="1" sqref="C26:C28" xr:uid="{8BDC8949-892E-4CB1-8CF6-4FB071CCC375}">
      <formula1>$H$26:$H$31</formula1>
    </dataValidation>
    <dataValidation type="list" allowBlank="1" showInputMessage="1" showErrorMessage="1" sqref="E19" xr:uid="{9BF08DC6-41D7-4F03-BDD7-4536608E4EB3}">
      <formula1>"Yes,No"</formula1>
    </dataValidation>
  </dataValidations>
  <printOptions horizontalCentered="1"/>
  <pageMargins left="0.25" right="0.25" top="0.5" bottom="0.3" header="0" footer="0"/>
  <pageSetup scale="68" firstPageNumber="24" fitToHeight="2" orientation="portrait" horizontalDpi="525" verticalDpi="525" r:id="rId1"/>
  <headerFooter scaleWithDoc="0" alignWithMargins="0">
    <oddFooter>&amp;L&amp;9Homekey Round 2&amp;C&amp;9Page &amp;P of &amp;N&amp;R&amp;"Arial,Italic"&amp;9&amp;A</oddFooter>
  </headerFooter>
  <rowBreaks count="1" manualBreakCount="1">
    <brk id="69" max="4"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69E7A-F9E2-4644-B250-CAE771F375F0}">
  <sheetPr codeName="Sheet13">
    <tabColor theme="7" tint="-0.249977111117893"/>
    <pageSetUpPr fitToPage="1"/>
  </sheetPr>
  <dimension ref="A1:AG73"/>
  <sheetViews>
    <sheetView showGridLines="0" workbookViewId="0">
      <selection activeCell="S49" sqref="S49"/>
    </sheetView>
  </sheetViews>
  <sheetFormatPr defaultColWidth="9.1796875" defaultRowHeight="12.5"/>
  <cols>
    <col min="1" max="1" width="9.453125" style="75" customWidth="1"/>
    <col min="2" max="2" width="15.54296875" style="75" customWidth="1"/>
    <col min="3" max="3" width="7.453125" style="75" bestFit="1" customWidth="1"/>
    <col min="4" max="18" width="10.453125" style="75" customWidth="1"/>
    <col min="19" max="16384" width="9.1796875" style="75"/>
  </cols>
  <sheetData>
    <row r="1" spans="1:18" ht="13.5" customHeight="1">
      <c r="A1" s="1757"/>
      <c r="B1" s="1757"/>
      <c r="C1" s="1757"/>
      <c r="D1" s="1757"/>
      <c r="E1" s="1757"/>
      <c r="F1" s="1757"/>
      <c r="G1" s="1757"/>
      <c r="H1" s="1757"/>
      <c r="I1" s="1757"/>
      <c r="J1" s="1757"/>
      <c r="K1" s="1757"/>
      <c r="L1" s="1757"/>
      <c r="M1" s="1757"/>
      <c r="N1" s="1757"/>
      <c r="O1" s="1757"/>
      <c r="P1" s="1757"/>
      <c r="Q1" s="1757"/>
      <c r="R1" s="1757"/>
    </row>
    <row r="2" spans="1:18" ht="20.25" customHeight="1">
      <c r="A2" s="1758" t="s">
        <v>2090</v>
      </c>
      <c r="B2" s="1759"/>
      <c r="C2" s="1759"/>
      <c r="D2" s="1759"/>
      <c r="E2" s="1759"/>
      <c r="F2" s="1759"/>
      <c r="G2" s="1759"/>
      <c r="H2" s="1759"/>
      <c r="I2" s="1759"/>
      <c r="J2" s="1759"/>
      <c r="K2" s="1759"/>
      <c r="L2" s="1759"/>
      <c r="M2" s="1759"/>
      <c r="N2" s="1759"/>
      <c r="O2" s="1759"/>
      <c r="P2" s="1759"/>
      <c r="Q2" s="1760"/>
      <c r="R2" s="432">
        <f>CoverPage!B11</f>
        <v>44471</v>
      </c>
    </row>
    <row r="3" spans="1:18" ht="14">
      <c r="A3" s="1761" t="s">
        <v>2091</v>
      </c>
      <c r="B3" s="1762"/>
      <c r="C3" s="1762"/>
      <c r="D3" s="1762"/>
      <c r="E3" s="1762"/>
      <c r="F3" s="1762"/>
      <c r="G3" s="1762"/>
      <c r="H3" s="1763"/>
      <c r="I3" s="1764" t="s">
        <v>2092</v>
      </c>
      <c r="J3" s="1765"/>
      <c r="K3" s="88">
        <f>IF(I3&lt;&gt;"Proposed Rents",1,0)</f>
        <v>0</v>
      </c>
      <c r="L3" s="206"/>
      <c r="M3" s="207"/>
      <c r="N3" s="208"/>
      <c r="O3" s="209"/>
      <c r="Q3" s="210"/>
      <c r="R3" s="207"/>
    </row>
    <row r="4" spans="1:18" s="215" customFormat="1" ht="12.75" customHeight="1">
      <c r="A4" s="211" t="s">
        <v>2093</v>
      </c>
      <c r="B4" s="212"/>
      <c r="C4" s="213" t="s">
        <v>2094</v>
      </c>
      <c r="D4" s="619" t="s">
        <v>643</v>
      </c>
      <c r="E4" s="214" t="s">
        <v>644</v>
      </c>
      <c r="F4" s="214" t="s">
        <v>645</v>
      </c>
      <c r="G4" s="214" t="s">
        <v>646</v>
      </c>
      <c r="H4" s="214" t="s">
        <v>647</v>
      </c>
      <c r="I4" s="214" t="s">
        <v>2095</v>
      </c>
      <c r="J4" s="214" t="s">
        <v>2096</v>
      </c>
      <c r="K4" s="214" t="s">
        <v>2097</v>
      </c>
      <c r="L4" s="214" t="s">
        <v>2098</v>
      </c>
      <c r="M4" s="214" t="s">
        <v>2099</v>
      </c>
      <c r="N4" s="214" t="s">
        <v>2100</v>
      </c>
      <c r="O4" s="214" t="s">
        <v>2101</v>
      </c>
      <c r="P4" s="214" t="s">
        <v>2102</v>
      </c>
      <c r="Q4" s="214" t="s">
        <v>2103</v>
      </c>
      <c r="R4" s="214" t="s">
        <v>2104</v>
      </c>
    </row>
    <row r="5" spans="1:18" s="215" customFormat="1" ht="11.5">
      <c r="A5" s="1756" t="s">
        <v>2105</v>
      </c>
      <c r="B5" s="1756"/>
      <c r="C5" s="219">
        <v>2.5000000000000001E-2</v>
      </c>
      <c r="D5" s="217">
        <f>IF(K3=1,'Award, Match, and Revenue'!I26,'Award, Match, and Revenue'!J26)</f>
        <v>0</v>
      </c>
      <c r="E5" s="218">
        <f t="shared" ref="E5:Q5" si="0">D5*(1+$C$5)</f>
        <v>0</v>
      </c>
      <c r="F5" s="218">
        <f t="shared" si="0"/>
        <v>0</v>
      </c>
      <c r="G5" s="218">
        <f t="shared" si="0"/>
        <v>0</v>
      </c>
      <c r="H5" s="218">
        <f t="shared" si="0"/>
        <v>0</v>
      </c>
      <c r="I5" s="218">
        <f t="shared" si="0"/>
        <v>0</v>
      </c>
      <c r="J5" s="218">
        <f t="shared" si="0"/>
        <v>0</v>
      </c>
      <c r="K5" s="218">
        <f t="shared" si="0"/>
        <v>0</v>
      </c>
      <c r="L5" s="218">
        <f t="shared" si="0"/>
        <v>0</v>
      </c>
      <c r="M5" s="218">
        <f t="shared" si="0"/>
        <v>0</v>
      </c>
      <c r="N5" s="218">
        <f t="shared" si="0"/>
        <v>0</v>
      </c>
      <c r="O5" s="218">
        <f t="shared" si="0"/>
        <v>0</v>
      </c>
      <c r="P5" s="218">
        <f t="shared" si="0"/>
        <v>0</v>
      </c>
      <c r="Q5" s="218">
        <f t="shared" si="0"/>
        <v>0</v>
      </c>
      <c r="R5" s="218">
        <f>Q5*(1+$C$5)</f>
        <v>0</v>
      </c>
    </row>
    <row r="6" spans="1:18" s="215" customFormat="1" ht="11.5">
      <c r="A6" s="1756" t="s">
        <v>1998</v>
      </c>
      <c r="B6" s="1756"/>
      <c r="C6" s="219">
        <v>2.5000000000000001E-2</v>
      </c>
      <c r="D6" s="220">
        <f>'Award, Match, and Revenue'!K26</f>
        <v>0</v>
      </c>
      <c r="E6" s="218">
        <f t="shared" ref="E6:Q6" si="1">D6*(1+$C$6)</f>
        <v>0</v>
      </c>
      <c r="F6" s="218">
        <f t="shared" si="1"/>
        <v>0</v>
      </c>
      <c r="G6" s="218">
        <f t="shared" si="1"/>
        <v>0</v>
      </c>
      <c r="H6" s="218">
        <f t="shared" si="1"/>
        <v>0</v>
      </c>
      <c r="I6" s="218">
        <f t="shared" si="1"/>
        <v>0</v>
      </c>
      <c r="J6" s="218">
        <f t="shared" si="1"/>
        <v>0</v>
      </c>
      <c r="K6" s="218">
        <f t="shared" si="1"/>
        <v>0</v>
      </c>
      <c r="L6" s="218">
        <f t="shared" si="1"/>
        <v>0</v>
      </c>
      <c r="M6" s="218">
        <f t="shared" si="1"/>
        <v>0</v>
      </c>
      <c r="N6" s="218">
        <f t="shared" si="1"/>
        <v>0</v>
      </c>
      <c r="O6" s="218">
        <f t="shared" si="1"/>
        <v>0</v>
      </c>
      <c r="P6" s="218">
        <f t="shared" si="1"/>
        <v>0</v>
      </c>
      <c r="Q6" s="218">
        <f t="shared" si="1"/>
        <v>0</v>
      </c>
      <c r="R6" s="218">
        <f>Q6*(1+$C$6)</f>
        <v>0</v>
      </c>
    </row>
    <row r="7" spans="1:18" s="215" customFormat="1" ht="11.5">
      <c r="A7" s="1766" t="s">
        <v>1999</v>
      </c>
      <c r="B7" s="1766"/>
      <c r="C7" s="219"/>
      <c r="D7" s="220"/>
      <c r="E7" s="218"/>
      <c r="F7" s="218"/>
      <c r="G7" s="218"/>
      <c r="H7" s="218"/>
      <c r="I7" s="218"/>
      <c r="J7" s="218"/>
      <c r="K7" s="218"/>
      <c r="L7" s="218"/>
      <c r="M7" s="218"/>
      <c r="N7" s="218"/>
      <c r="O7" s="218"/>
      <c r="P7" s="218"/>
      <c r="Q7" s="218"/>
      <c r="R7" s="218"/>
    </row>
    <row r="8" spans="1:18" s="215" customFormat="1" ht="11.5">
      <c r="A8" s="1767" t="str">
        <f>Operating!C36</f>
        <v>Subsidy Program #1 Name</v>
      </c>
      <c r="B8" s="1767"/>
      <c r="C8" s="219">
        <v>2.5000000000000001E-2</v>
      </c>
      <c r="D8" s="221">
        <f>Operating!D36</f>
        <v>0</v>
      </c>
      <c r="E8" s="222">
        <f>D8*(1+$C$8)</f>
        <v>0</v>
      </c>
      <c r="F8" s="222">
        <f>E8*(1+$C$8)</f>
        <v>0</v>
      </c>
      <c r="G8" s="222">
        <f t="shared" ref="G8:Q8" si="2">F8*(1+$C$8)</f>
        <v>0</v>
      </c>
      <c r="H8" s="222">
        <f t="shared" si="2"/>
        <v>0</v>
      </c>
      <c r="I8" s="222">
        <f t="shared" si="2"/>
        <v>0</v>
      </c>
      <c r="J8" s="222">
        <f t="shared" si="2"/>
        <v>0</v>
      </c>
      <c r="K8" s="222">
        <f t="shared" si="2"/>
        <v>0</v>
      </c>
      <c r="L8" s="222">
        <f t="shared" si="2"/>
        <v>0</v>
      </c>
      <c r="M8" s="222">
        <f t="shared" si="2"/>
        <v>0</v>
      </c>
      <c r="N8" s="222">
        <f t="shared" si="2"/>
        <v>0</v>
      </c>
      <c r="O8" s="222">
        <f t="shared" si="2"/>
        <v>0</v>
      </c>
      <c r="P8" s="222">
        <f t="shared" si="2"/>
        <v>0</v>
      </c>
      <c r="Q8" s="222">
        <f t="shared" si="2"/>
        <v>0</v>
      </c>
      <c r="R8" s="222">
        <f>Q8*(1+$C$8)</f>
        <v>0</v>
      </c>
    </row>
    <row r="9" spans="1:18" s="215" customFormat="1" ht="11.5">
      <c r="A9" s="1767" t="str">
        <f>Operating!C37</f>
        <v>Subsidy Program #2 Name</v>
      </c>
      <c r="B9" s="1767"/>
      <c r="C9" s="219">
        <v>2.5000000000000001E-2</v>
      </c>
      <c r="D9" s="221">
        <f>Operating!D37</f>
        <v>0</v>
      </c>
      <c r="E9" s="222">
        <f>D9*(1+$C$9)</f>
        <v>0</v>
      </c>
      <c r="F9" s="222">
        <f>E9*(1+$C$9)</f>
        <v>0</v>
      </c>
      <c r="G9" s="222">
        <f t="shared" ref="G9:Q9" si="3">F9*(1+$C$9)</f>
        <v>0</v>
      </c>
      <c r="H9" s="222">
        <f t="shared" si="3"/>
        <v>0</v>
      </c>
      <c r="I9" s="222">
        <f t="shared" si="3"/>
        <v>0</v>
      </c>
      <c r="J9" s="222">
        <f t="shared" si="3"/>
        <v>0</v>
      </c>
      <c r="K9" s="222">
        <f t="shared" si="3"/>
        <v>0</v>
      </c>
      <c r="L9" s="222">
        <f t="shared" si="3"/>
        <v>0</v>
      </c>
      <c r="M9" s="222">
        <f t="shared" si="3"/>
        <v>0</v>
      </c>
      <c r="N9" s="222">
        <f t="shared" si="3"/>
        <v>0</v>
      </c>
      <c r="O9" s="222">
        <f t="shared" si="3"/>
        <v>0</v>
      </c>
      <c r="P9" s="222">
        <f t="shared" si="3"/>
        <v>0</v>
      </c>
      <c r="Q9" s="222">
        <f t="shared" si="3"/>
        <v>0</v>
      </c>
      <c r="R9" s="222">
        <f>Q9*(1+$C$9)</f>
        <v>0</v>
      </c>
    </row>
    <row r="10" spans="1:18" s="215" customFormat="1" ht="11.5">
      <c r="A10" s="1755" t="str">
        <f>Operating!C38</f>
        <v>Operating Subsidy: (specify)</v>
      </c>
      <c r="B10" s="1755"/>
      <c r="C10" s="447"/>
      <c r="D10" s="495">
        <f>Operating!D38</f>
        <v>0</v>
      </c>
      <c r="E10" s="223">
        <v>0</v>
      </c>
      <c r="F10" s="223">
        <v>0</v>
      </c>
      <c r="G10" s="223">
        <v>0</v>
      </c>
      <c r="H10" s="223">
        <v>0</v>
      </c>
      <c r="I10" s="223">
        <v>0</v>
      </c>
      <c r="J10" s="223">
        <v>0</v>
      </c>
      <c r="K10" s="223">
        <v>0</v>
      </c>
      <c r="L10" s="223">
        <v>0</v>
      </c>
      <c r="M10" s="223">
        <v>0</v>
      </c>
      <c r="N10" s="223">
        <v>0</v>
      </c>
      <c r="O10" s="223">
        <v>0</v>
      </c>
      <c r="P10" s="223">
        <v>0</v>
      </c>
      <c r="Q10" s="223">
        <v>0</v>
      </c>
      <c r="R10" s="223">
        <v>0</v>
      </c>
    </row>
    <row r="11" spans="1:18" s="215" customFormat="1" ht="11.5">
      <c r="A11" s="1755" t="str">
        <f>Operating!C39</f>
        <v>Operating Subsidy: (specify)</v>
      </c>
      <c r="B11" s="1755"/>
      <c r="C11" s="447"/>
      <c r="D11" s="495">
        <f>Operating!D39</f>
        <v>0</v>
      </c>
      <c r="E11" s="223">
        <v>0</v>
      </c>
      <c r="F11" s="223">
        <v>0</v>
      </c>
      <c r="G11" s="223">
        <v>0</v>
      </c>
      <c r="H11" s="223">
        <v>0</v>
      </c>
      <c r="I11" s="223">
        <v>0</v>
      </c>
      <c r="J11" s="223">
        <v>0</v>
      </c>
      <c r="K11" s="223">
        <v>0</v>
      </c>
      <c r="L11" s="223">
        <v>0</v>
      </c>
      <c r="M11" s="223">
        <v>0</v>
      </c>
      <c r="N11" s="223">
        <v>0</v>
      </c>
      <c r="O11" s="223">
        <v>0</v>
      </c>
      <c r="P11" s="223">
        <v>0</v>
      </c>
      <c r="Q11" s="223">
        <v>0</v>
      </c>
      <c r="R11" s="223">
        <v>0</v>
      </c>
    </row>
    <row r="12" spans="1:18" s="215" customFormat="1" ht="12" thickBot="1">
      <c r="A12" s="224" t="s">
        <v>2106</v>
      </c>
      <c r="B12" s="224"/>
      <c r="C12" s="225"/>
      <c r="D12" s="226">
        <f t="shared" ref="D12:R12" si="4">SUM(D5:D11)</f>
        <v>0</v>
      </c>
      <c r="E12" s="227">
        <f t="shared" si="4"/>
        <v>0</v>
      </c>
      <c r="F12" s="227">
        <f t="shared" si="4"/>
        <v>0</v>
      </c>
      <c r="G12" s="227">
        <f t="shared" si="4"/>
        <v>0</v>
      </c>
      <c r="H12" s="227">
        <f t="shared" si="4"/>
        <v>0</v>
      </c>
      <c r="I12" s="227">
        <f t="shared" si="4"/>
        <v>0</v>
      </c>
      <c r="J12" s="227">
        <f t="shared" si="4"/>
        <v>0</v>
      </c>
      <c r="K12" s="227">
        <f t="shared" si="4"/>
        <v>0</v>
      </c>
      <c r="L12" s="227">
        <f t="shared" si="4"/>
        <v>0</v>
      </c>
      <c r="M12" s="227">
        <f t="shared" si="4"/>
        <v>0</v>
      </c>
      <c r="N12" s="227">
        <f t="shared" si="4"/>
        <v>0</v>
      </c>
      <c r="O12" s="227">
        <f t="shared" si="4"/>
        <v>0</v>
      </c>
      <c r="P12" s="227">
        <f t="shared" si="4"/>
        <v>0</v>
      </c>
      <c r="Q12" s="227">
        <f t="shared" si="4"/>
        <v>0</v>
      </c>
      <c r="R12" s="227">
        <f t="shared" si="4"/>
        <v>0</v>
      </c>
    </row>
    <row r="13" spans="1:18" s="215" customFormat="1" ht="6" customHeight="1" thickTop="1">
      <c r="A13" s="228"/>
      <c r="B13" s="228"/>
      <c r="C13" s="225"/>
      <c r="D13" s="221"/>
      <c r="E13" s="218"/>
      <c r="F13" s="218"/>
      <c r="G13" s="218"/>
      <c r="H13" s="218"/>
      <c r="I13" s="218"/>
      <c r="J13" s="218"/>
      <c r="K13" s="218"/>
      <c r="L13" s="218"/>
      <c r="M13" s="218"/>
      <c r="N13" s="218"/>
      <c r="O13" s="218"/>
      <c r="P13" s="218"/>
      <c r="Q13" s="218"/>
      <c r="R13" s="218"/>
    </row>
    <row r="14" spans="1:18" s="215" customFormat="1" ht="11.5">
      <c r="A14" s="211" t="s">
        <v>2107</v>
      </c>
      <c r="B14" s="211"/>
      <c r="C14" s="229"/>
      <c r="D14" s="230"/>
      <c r="E14" s="231"/>
      <c r="F14" s="231"/>
      <c r="G14" s="231"/>
      <c r="H14" s="231"/>
      <c r="I14" s="231"/>
      <c r="J14" s="231"/>
      <c r="K14" s="231"/>
      <c r="L14" s="231"/>
      <c r="M14" s="231"/>
      <c r="N14" s="231"/>
      <c r="O14" s="231"/>
      <c r="P14" s="231"/>
      <c r="Q14" s="231"/>
      <c r="R14" s="231"/>
    </row>
    <row r="15" spans="1:18" s="215" customFormat="1" ht="11.5">
      <c r="A15" s="1756" t="s">
        <v>2108</v>
      </c>
      <c r="B15" s="1756"/>
      <c r="C15" s="219">
        <v>2.5000000000000001E-2</v>
      </c>
      <c r="D15" s="221">
        <f>Operating!D40</f>
        <v>0</v>
      </c>
      <c r="E15" s="218">
        <f t="shared" ref="E15:Q15" si="5">D15*(1+$C$15)</f>
        <v>0</v>
      </c>
      <c r="F15" s="218">
        <f t="shared" si="5"/>
        <v>0</v>
      </c>
      <c r="G15" s="218">
        <f t="shared" si="5"/>
        <v>0</v>
      </c>
      <c r="H15" s="218">
        <f t="shared" si="5"/>
        <v>0</v>
      </c>
      <c r="I15" s="218">
        <f t="shared" si="5"/>
        <v>0</v>
      </c>
      <c r="J15" s="218">
        <f t="shared" si="5"/>
        <v>0</v>
      </c>
      <c r="K15" s="218">
        <f t="shared" si="5"/>
        <v>0</v>
      </c>
      <c r="L15" s="218">
        <f t="shared" si="5"/>
        <v>0</v>
      </c>
      <c r="M15" s="218">
        <f t="shared" si="5"/>
        <v>0</v>
      </c>
      <c r="N15" s="218">
        <f t="shared" si="5"/>
        <v>0</v>
      </c>
      <c r="O15" s="218">
        <f t="shared" si="5"/>
        <v>0</v>
      </c>
      <c r="P15" s="218">
        <f t="shared" si="5"/>
        <v>0</v>
      </c>
      <c r="Q15" s="218">
        <f t="shared" si="5"/>
        <v>0</v>
      </c>
      <c r="R15" s="218">
        <f>Q15*(1+$C$15)</f>
        <v>0</v>
      </c>
    </row>
    <row r="16" spans="1:18" s="215" customFormat="1" ht="11.5">
      <c r="A16" s="1754" t="s">
        <v>2109</v>
      </c>
      <c r="B16" s="1754"/>
      <c r="C16" s="219">
        <v>2.5000000000000001E-2</v>
      </c>
      <c r="D16" s="230">
        <f>Operating!D41+Operating!D42</f>
        <v>0</v>
      </c>
      <c r="E16" s="231">
        <f t="shared" ref="E16:Q16" si="6">D16*(1+$C$16)</f>
        <v>0</v>
      </c>
      <c r="F16" s="231">
        <f t="shared" si="6"/>
        <v>0</v>
      </c>
      <c r="G16" s="231">
        <f t="shared" si="6"/>
        <v>0</v>
      </c>
      <c r="H16" s="231">
        <f t="shared" si="6"/>
        <v>0</v>
      </c>
      <c r="I16" s="231">
        <f t="shared" si="6"/>
        <v>0</v>
      </c>
      <c r="J16" s="231">
        <f t="shared" si="6"/>
        <v>0</v>
      </c>
      <c r="K16" s="231">
        <f t="shared" si="6"/>
        <v>0</v>
      </c>
      <c r="L16" s="231">
        <f t="shared" si="6"/>
        <v>0</v>
      </c>
      <c r="M16" s="231">
        <f t="shared" si="6"/>
        <v>0</v>
      </c>
      <c r="N16" s="231">
        <f t="shared" si="6"/>
        <v>0</v>
      </c>
      <c r="O16" s="231">
        <f t="shared" si="6"/>
        <v>0</v>
      </c>
      <c r="P16" s="231">
        <f t="shared" si="6"/>
        <v>0</v>
      </c>
      <c r="Q16" s="231">
        <f t="shared" si="6"/>
        <v>0</v>
      </c>
      <c r="R16" s="231">
        <f>Q16*(1+$C$16)</f>
        <v>0</v>
      </c>
    </row>
    <row r="17" spans="1:18" s="215" customFormat="1" ht="11.5">
      <c r="A17" s="1751" t="s">
        <v>2110</v>
      </c>
      <c r="B17" s="1751"/>
      <c r="C17" s="219">
        <v>2.5000000000000001E-2</v>
      </c>
      <c r="D17" s="233">
        <f>Operating!E43</f>
        <v>0</v>
      </c>
      <c r="E17" s="234">
        <f t="shared" ref="E17:Q17" si="7">D17*(1+$C$17)</f>
        <v>0</v>
      </c>
      <c r="F17" s="234">
        <f t="shared" si="7"/>
        <v>0</v>
      </c>
      <c r="G17" s="234">
        <f t="shared" si="7"/>
        <v>0</v>
      </c>
      <c r="H17" s="234">
        <f t="shared" si="7"/>
        <v>0</v>
      </c>
      <c r="I17" s="234">
        <f t="shared" si="7"/>
        <v>0</v>
      </c>
      <c r="J17" s="234">
        <f t="shared" si="7"/>
        <v>0</v>
      </c>
      <c r="K17" s="234">
        <f t="shared" si="7"/>
        <v>0</v>
      </c>
      <c r="L17" s="234">
        <f t="shared" si="7"/>
        <v>0</v>
      </c>
      <c r="M17" s="234">
        <f t="shared" si="7"/>
        <v>0</v>
      </c>
      <c r="N17" s="234">
        <f t="shared" si="7"/>
        <v>0</v>
      </c>
      <c r="O17" s="234">
        <f t="shared" si="7"/>
        <v>0</v>
      </c>
      <c r="P17" s="234">
        <f t="shared" si="7"/>
        <v>0</v>
      </c>
      <c r="Q17" s="234">
        <f t="shared" si="7"/>
        <v>0</v>
      </c>
      <c r="R17" s="234">
        <f>Q17*(1+$C$17)</f>
        <v>0</v>
      </c>
    </row>
    <row r="18" spans="1:18" s="215" customFormat="1" ht="11.5">
      <c r="A18" s="224" t="s">
        <v>2111</v>
      </c>
      <c r="B18" s="224"/>
      <c r="C18" s="225"/>
      <c r="D18" s="235">
        <f t="shared" ref="D18:R18" si="8">SUM(D15:D17)</f>
        <v>0</v>
      </c>
      <c r="E18" s="236">
        <f t="shared" si="8"/>
        <v>0</v>
      </c>
      <c r="F18" s="236">
        <f t="shared" si="8"/>
        <v>0</v>
      </c>
      <c r="G18" s="236">
        <f t="shared" si="8"/>
        <v>0</v>
      </c>
      <c r="H18" s="236">
        <f t="shared" si="8"/>
        <v>0</v>
      </c>
      <c r="I18" s="236">
        <f t="shared" si="8"/>
        <v>0</v>
      </c>
      <c r="J18" s="236">
        <f t="shared" si="8"/>
        <v>0</v>
      </c>
      <c r="K18" s="236">
        <f t="shared" si="8"/>
        <v>0</v>
      </c>
      <c r="L18" s="236">
        <f t="shared" si="8"/>
        <v>0</v>
      </c>
      <c r="M18" s="236">
        <f t="shared" si="8"/>
        <v>0</v>
      </c>
      <c r="N18" s="236">
        <f t="shared" si="8"/>
        <v>0</v>
      </c>
      <c r="O18" s="236">
        <f t="shared" si="8"/>
        <v>0</v>
      </c>
      <c r="P18" s="236">
        <f t="shared" si="8"/>
        <v>0</v>
      </c>
      <c r="Q18" s="236">
        <f t="shared" si="8"/>
        <v>0</v>
      </c>
      <c r="R18" s="236">
        <f t="shared" si="8"/>
        <v>0</v>
      </c>
    </row>
    <row r="19" spans="1:18" s="215" customFormat="1" ht="6.75" customHeight="1">
      <c r="A19" s="228"/>
      <c r="B19" s="228"/>
      <c r="C19" s="225"/>
      <c r="D19" s="221"/>
      <c r="E19" s="218"/>
      <c r="F19" s="218"/>
      <c r="G19" s="218"/>
      <c r="H19" s="218"/>
      <c r="I19" s="218"/>
      <c r="J19" s="218"/>
      <c r="K19" s="218"/>
      <c r="L19" s="218"/>
      <c r="M19" s="218"/>
      <c r="N19" s="218"/>
      <c r="O19" s="218"/>
      <c r="P19" s="218"/>
      <c r="Q19" s="218"/>
      <c r="R19" s="218"/>
    </row>
    <row r="20" spans="1:18" s="215" customFormat="1" ht="11.5">
      <c r="A20" s="237" t="s">
        <v>2112</v>
      </c>
      <c r="B20" s="237"/>
      <c r="C20" s="238"/>
      <c r="D20" s="239">
        <f t="shared" ref="D20:R20" si="9">D12+D18</f>
        <v>0</v>
      </c>
      <c r="E20" s="240">
        <f t="shared" si="9"/>
        <v>0</v>
      </c>
      <c r="F20" s="240">
        <f t="shared" si="9"/>
        <v>0</v>
      </c>
      <c r="G20" s="240">
        <f t="shared" si="9"/>
        <v>0</v>
      </c>
      <c r="H20" s="240">
        <f t="shared" si="9"/>
        <v>0</v>
      </c>
      <c r="I20" s="240">
        <f t="shared" si="9"/>
        <v>0</v>
      </c>
      <c r="J20" s="240">
        <f t="shared" si="9"/>
        <v>0</v>
      </c>
      <c r="K20" s="240">
        <f t="shared" si="9"/>
        <v>0</v>
      </c>
      <c r="L20" s="240">
        <f t="shared" si="9"/>
        <v>0</v>
      </c>
      <c r="M20" s="240">
        <f t="shared" si="9"/>
        <v>0</v>
      </c>
      <c r="N20" s="240">
        <f t="shared" si="9"/>
        <v>0</v>
      </c>
      <c r="O20" s="240">
        <f t="shared" si="9"/>
        <v>0</v>
      </c>
      <c r="P20" s="240">
        <f t="shared" si="9"/>
        <v>0</v>
      </c>
      <c r="Q20" s="240">
        <f t="shared" si="9"/>
        <v>0</v>
      </c>
      <c r="R20" s="240">
        <f t="shared" si="9"/>
        <v>0</v>
      </c>
    </row>
    <row r="21" spans="1:18" s="215" customFormat="1" ht="5.25" customHeight="1">
      <c r="A21" s="241" t="s">
        <v>1987</v>
      </c>
      <c r="B21" s="241"/>
      <c r="C21" s="225"/>
      <c r="D21" s="221"/>
      <c r="E21" s="218"/>
      <c r="F21" s="218"/>
      <c r="G21" s="218"/>
      <c r="H21" s="218"/>
      <c r="I21" s="218"/>
      <c r="J21" s="218"/>
      <c r="K21" s="218"/>
      <c r="L21" s="218"/>
      <c r="M21" s="218"/>
      <c r="N21" s="218"/>
      <c r="O21" s="218"/>
      <c r="P21" s="218"/>
      <c r="Q21" s="218"/>
      <c r="R21" s="218"/>
    </row>
    <row r="22" spans="1:18" s="215" customFormat="1" ht="11.5">
      <c r="A22" s="211" t="s">
        <v>2113</v>
      </c>
      <c r="B22" s="211"/>
      <c r="C22" s="225"/>
      <c r="D22" s="242"/>
      <c r="E22" s="507"/>
      <c r="F22" s="507"/>
      <c r="G22" s="507"/>
      <c r="H22" s="507"/>
      <c r="I22" s="507"/>
      <c r="J22" s="507"/>
      <c r="K22" s="507"/>
      <c r="L22" s="507"/>
      <c r="M22" s="507"/>
      <c r="N22" s="507"/>
      <c r="O22" s="507"/>
      <c r="P22" s="507"/>
      <c r="Q22" s="507"/>
      <c r="R22" s="507"/>
    </row>
    <row r="23" spans="1:18" s="215" customFormat="1" ht="11.5">
      <c r="A23" s="525" t="s">
        <v>2114</v>
      </c>
      <c r="B23" s="525"/>
      <c r="C23" s="216">
        <f>Operating!D45</f>
        <v>0.05</v>
      </c>
      <c r="D23" s="230">
        <f>$C23*D5</f>
        <v>0</v>
      </c>
      <c r="E23" s="231">
        <f t="shared" ref="E23:R24" si="10">$C23*E5</f>
        <v>0</v>
      </c>
      <c r="F23" s="231">
        <f t="shared" si="10"/>
        <v>0</v>
      </c>
      <c r="G23" s="231">
        <f t="shared" si="10"/>
        <v>0</v>
      </c>
      <c r="H23" s="231">
        <f t="shared" si="10"/>
        <v>0</v>
      </c>
      <c r="I23" s="231">
        <f t="shared" si="10"/>
        <v>0</v>
      </c>
      <c r="J23" s="231">
        <f t="shared" si="10"/>
        <v>0</v>
      </c>
      <c r="K23" s="231">
        <f t="shared" si="10"/>
        <v>0</v>
      </c>
      <c r="L23" s="231">
        <f t="shared" si="10"/>
        <v>0</v>
      </c>
      <c r="M23" s="231">
        <f t="shared" si="10"/>
        <v>0</v>
      </c>
      <c r="N23" s="231">
        <f t="shared" si="10"/>
        <v>0</v>
      </c>
      <c r="O23" s="231">
        <f t="shared" si="10"/>
        <v>0</v>
      </c>
      <c r="P23" s="231">
        <f t="shared" si="10"/>
        <v>0</v>
      </c>
      <c r="Q23" s="231">
        <f t="shared" si="10"/>
        <v>0</v>
      </c>
      <c r="R23" s="231">
        <f t="shared" si="10"/>
        <v>0</v>
      </c>
    </row>
    <row r="24" spans="1:18" s="215" customFormat="1" ht="11.5">
      <c r="A24" s="525" t="s">
        <v>2115</v>
      </c>
      <c r="B24" s="525"/>
      <c r="C24" s="216">
        <f>Operating!D46</f>
        <v>0.05</v>
      </c>
      <c r="D24" s="230">
        <f>$C24*D6</f>
        <v>0</v>
      </c>
      <c r="E24" s="231">
        <f t="shared" si="10"/>
        <v>0</v>
      </c>
      <c r="F24" s="231">
        <f t="shared" si="10"/>
        <v>0</v>
      </c>
      <c r="G24" s="231">
        <f t="shared" si="10"/>
        <v>0</v>
      </c>
      <c r="H24" s="231">
        <f t="shared" si="10"/>
        <v>0</v>
      </c>
      <c r="I24" s="231">
        <f t="shared" si="10"/>
        <v>0</v>
      </c>
      <c r="J24" s="231">
        <f t="shared" si="10"/>
        <v>0</v>
      </c>
      <c r="K24" s="231">
        <f t="shared" si="10"/>
        <v>0</v>
      </c>
      <c r="L24" s="231">
        <f t="shared" si="10"/>
        <v>0</v>
      </c>
      <c r="M24" s="231">
        <f t="shared" si="10"/>
        <v>0</v>
      </c>
      <c r="N24" s="231">
        <f t="shared" si="10"/>
        <v>0</v>
      </c>
      <c r="O24" s="231">
        <f t="shared" si="10"/>
        <v>0</v>
      </c>
      <c r="P24" s="231">
        <f t="shared" si="10"/>
        <v>0</v>
      </c>
      <c r="Q24" s="231">
        <f t="shared" si="10"/>
        <v>0</v>
      </c>
      <c r="R24" s="231">
        <f t="shared" si="10"/>
        <v>0</v>
      </c>
    </row>
    <row r="25" spans="1:18" s="215" customFormat="1" ht="11.5">
      <c r="A25" s="525" t="s">
        <v>1999</v>
      </c>
      <c r="B25" s="525"/>
      <c r="C25" s="216">
        <f>Operating!D47</f>
        <v>0.05</v>
      </c>
      <c r="D25" s="230">
        <f>$C25*(D8+D9)</f>
        <v>0</v>
      </c>
      <c r="E25" s="231">
        <f t="shared" ref="E25:R25" si="11">$C25*(E8+E9)</f>
        <v>0</v>
      </c>
      <c r="F25" s="231">
        <f t="shared" si="11"/>
        <v>0</v>
      </c>
      <c r="G25" s="231">
        <f t="shared" si="11"/>
        <v>0</v>
      </c>
      <c r="H25" s="231">
        <f t="shared" si="11"/>
        <v>0</v>
      </c>
      <c r="I25" s="231">
        <f t="shared" si="11"/>
        <v>0</v>
      </c>
      <c r="J25" s="231">
        <f t="shared" si="11"/>
        <v>0</v>
      </c>
      <c r="K25" s="231">
        <f t="shared" si="11"/>
        <v>0</v>
      </c>
      <c r="L25" s="231">
        <f t="shared" si="11"/>
        <v>0</v>
      </c>
      <c r="M25" s="231">
        <f t="shared" si="11"/>
        <v>0</v>
      </c>
      <c r="N25" s="231">
        <f t="shared" si="11"/>
        <v>0</v>
      </c>
      <c r="O25" s="231">
        <f t="shared" si="11"/>
        <v>0</v>
      </c>
      <c r="P25" s="231">
        <f t="shared" si="11"/>
        <v>0</v>
      </c>
      <c r="Q25" s="231">
        <f t="shared" si="11"/>
        <v>0</v>
      </c>
      <c r="R25" s="231">
        <f t="shared" si="11"/>
        <v>0</v>
      </c>
    </row>
    <row r="26" spans="1:18" s="215" customFormat="1" ht="11.5">
      <c r="A26" s="525" t="str">
        <f>Operating!C39</f>
        <v>Operating Subsidy: (specify)</v>
      </c>
      <c r="B26" s="525"/>
      <c r="C26" s="216">
        <f>Operating!D48</f>
        <v>0.05</v>
      </c>
      <c r="D26" s="230">
        <f>$C26*D11</f>
        <v>0</v>
      </c>
      <c r="E26" s="231">
        <f t="shared" ref="E26:R26" si="12">$C26*E11</f>
        <v>0</v>
      </c>
      <c r="F26" s="231">
        <f t="shared" si="12"/>
        <v>0</v>
      </c>
      <c r="G26" s="231">
        <f t="shared" si="12"/>
        <v>0</v>
      </c>
      <c r="H26" s="231">
        <f t="shared" si="12"/>
        <v>0</v>
      </c>
      <c r="I26" s="231">
        <f t="shared" si="12"/>
        <v>0</v>
      </c>
      <c r="J26" s="231">
        <f t="shared" si="12"/>
        <v>0</v>
      </c>
      <c r="K26" s="231">
        <f t="shared" si="12"/>
        <v>0</v>
      </c>
      <c r="L26" s="231">
        <f t="shared" si="12"/>
        <v>0</v>
      </c>
      <c r="M26" s="231">
        <f t="shared" si="12"/>
        <v>0</v>
      </c>
      <c r="N26" s="231">
        <f t="shared" si="12"/>
        <v>0</v>
      </c>
      <c r="O26" s="231">
        <f t="shared" si="12"/>
        <v>0</v>
      </c>
      <c r="P26" s="231">
        <f t="shared" si="12"/>
        <v>0</v>
      </c>
      <c r="Q26" s="231">
        <f t="shared" si="12"/>
        <v>0</v>
      </c>
      <c r="R26" s="231">
        <f t="shared" si="12"/>
        <v>0</v>
      </c>
    </row>
    <row r="27" spans="1:18" s="215" customFormat="1" ht="11.5">
      <c r="A27" s="525" t="s">
        <v>2116</v>
      </c>
      <c r="B27" s="525"/>
      <c r="C27" s="216">
        <f>Operating!D49</f>
        <v>0.05</v>
      </c>
      <c r="D27" s="230">
        <f>$C27*(D15+D16)</f>
        <v>0</v>
      </c>
      <c r="E27" s="231">
        <f t="shared" ref="E27:R27" si="13">$C27*(E15+E16)</f>
        <v>0</v>
      </c>
      <c r="F27" s="231">
        <f t="shared" si="13"/>
        <v>0</v>
      </c>
      <c r="G27" s="231">
        <f t="shared" si="13"/>
        <v>0</v>
      </c>
      <c r="H27" s="231">
        <f t="shared" si="13"/>
        <v>0</v>
      </c>
      <c r="I27" s="231">
        <f t="shared" si="13"/>
        <v>0</v>
      </c>
      <c r="J27" s="231">
        <f t="shared" si="13"/>
        <v>0</v>
      </c>
      <c r="K27" s="231">
        <f t="shared" si="13"/>
        <v>0</v>
      </c>
      <c r="L27" s="231">
        <f t="shared" si="13"/>
        <v>0</v>
      </c>
      <c r="M27" s="231">
        <f t="shared" si="13"/>
        <v>0</v>
      </c>
      <c r="N27" s="231">
        <f t="shared" si="13"/>
        <v>0</v>
      </c>
      <c r="O27" s="231">
        <f t="shared" si="13"/>
        <v>0</v>
      </c>
      <c r="P27" s="231">
        <f t="shared" si="13"/>
        <v>0</v>
      </c>
      <c r="Q27" s="231">
        <f t="shared" si="13"/>
        <v>0</v>
      </c>
      <c r="R27" s="231">
        <f t="shared" si="13"/>
        <v>0</v>
      </c>
    </row>
    <row r="28" spans="1:18" s="215" customFormat="1" ht="11.5">
      <c r="A28" s="525" t="s">
        <v>2117</v>
      </c>
      <c r="B28" s="525"/>
      <c r="C28" s="216">
        <f>Operating!E50</f>
        <v>0.5</v>
      </c>
      <c r="D28" s="230">
        <f>$C28*D17</f>
        <v>0</v>
      </c>
      <c r="E28" s="231">
        <f t="shared" ref="E28:R28" si="14">$C28*E17</f>
        <v>0</v>
      </c>
      <c r="F28" s="231">
        <f t="shared" si="14"/>
        <v>0</v>
      </c>
      <c r="G28" s="231">
        <f t="shared" si="14"/>
        <v>0</v>
      </c>
      <c r="H28" s="231">
        <f t="shared" si="14"/>
        <v>0</v>
      </c>
      <c r="I28" s="231">
        <f t="shared" si="14"/>
        <v>0</v>
      </c>
      <c r="J28" s="231">
        <f t="shared" si="14"/>
        <v>0</v>
      </c>
      <c r="K28" s="231">
        <f t="shared" si="14"/>
        <v>0</v>
      </c>
      <c r="L28" s="231">
        <f t="shared" si="14"/>
        <v>0</v>
      </c>
      <c r="M28" s="231">
        <f t="shared" si="14"/>
        <v>0</v>
      </c>
      <c r="N28" s="231">
        <f t="shared" si="14"/>
        <v>0</v>
      </c>
      <c r="O28" s="231">
        <f t="shared" si="14"/>
        <v>0</v>
      </c>
      <c r="P28" s="231">
        <f t="shared" si="14"/>
        <v>0</v>
      </c>
      <c r="Q28" s="231">
        <f t="shared" si="14"/>
        <v>0</v>
      </c>
      <c r="R28" s="231">
        <f t="shared" si="14"/>
        <v>0</v>
      </c>
    </row>
    <row r="29" spans="1:18" s="215" customFormat="1" ht="11.5">
      <c r="A29" s="224" t="s">
        <v>2118</v>
      </c>
      <c r="B29" s="224"/>
      <c r="C29" s="225"/>
      <c r="D29" s="243">
        <f>SUM(D23:D28)</f>
        <v>0</v>
      </c>
      <c r="E29" s="244">
        <f t="shared" ref="E29:R29" si="15">SUM(E23:E28)</f>
        <v>0</v>
      </c>
      <c r="F29" s="244">
        <f t="shared" si="15"/>
        <v>0</v>
      </c>
      <c r="G29" s="244">
        <f t="shared" si="15"/>
        <v>0</v>
      </c>
      <c r="H29" s="244">
        <f t="shared" si="15"/>
        <v>0</v>
      </c>
      <c r="I29" s="244">
        <f t="shared" si="15"/>
        <v>0</v>
      </c>
      <c r="J29" s="244">
        <f t="shared" si="15"/>
        <v>0</v>
      </c>
      <c r="K29" s="244">
        <f t="shared" si="15"/>
        <v>0</v>
      </c>
      <c r="L29" s="244">
        <f t="shared" si="15"/>
        <v>0</v>
      </c>
      <c r="M29" s="244">
        <f t="shared" si="15"/>
        <v>0</v>
      </c>
      <c r="N29" s="244">
        <f t="shared" si="15"/>
        <v>0</v>
      </c>
      <c r="O29" s="244">
        <f t="shared" si="15"/>
        <v>0</v>
      </c>
      <c r="P29" s="244">
        <f t="shared" si="15"/>
        <v>0</v>
      </c>
      <c r="Q29" s="244">
        <f t="shared" si="15"/>
        <v>0</v>
      </c>
      <c r="R29" s="244">
        <f t="shared" si="15"/>
        <v>0</v>
      </c>
    </row>
    <row r="30" spans="1:18" s="215" customFormat="1" ht="6.75" customHeight="1">
      <c r="A30" s="507"/>
      <c r="B30" s="507"/>
      <c r="C30" s="245"/>
      <c r="D30" s="221"/>
      <c r="E30" s="218"/>
      <c r="F30" s="218"/>
      <c r="G30" s="218"/>
      <c r="H30" s="218"/>
      <c r="I30" s="218"/>
      <c r="J30" s="218"/>
      <c r="K30" s="218"/>
      <c r="L30" s="218"/>
      <c r="M30" s="218"/>
      <c r="N30" s="218"/>
      <c r="O30" s="218"/>
      <c r="P30" s="218"/>
      <c r="Q30" s="218"/>
      <c r="R30" s="218"/>
    </row>
    <row r="31" spans="1:18" s="215" customFormat="1" ht="11.5">
      <c r="A31" s="246" t="s">
        <v>2119</v>
      </c>
      <c r="B31" s="246"/>
      <c r="C31" s="238"/>
      <c r="D31" s="239">
        <f t="shared" ref="D31:R31" si="16">D20-D29</f>
        <v>0</v>
      </c>
      <c r="E31" s="240">
        <f t="shared" si="16"/>
        <v>0</v>
      </c>
      <c r="F31" s="240">
        <f t="shared" si="16"/>
        <v>0</v>
      </c>
      <c r="G31" s="240">
        <f t="shared" si="16"/>
        <v>0</v>
      </c>
      <c r="H31" s="240">
        <f t="shared" si="16"/>
        <v>0</v>
      </c>
      <c r="I31" s="240">
        <f t="shared" si="16"/>
        <v>0</v>
      </c>
      <c r="J31" s="240">
        <f t="shared" si="16"/>
        <v>0</v>
      </c>
      <c r="K31" s="240">
        <f t="shared" si="16"/>
        <v>0</v>
      </c>
      <c r="L31" s="240">
        <f t="shared" si="16"/>
        <v>0</v>
      </c>
      <c r="M31" s="240">
        <f t="shared" si="16"/>
        <v>0</v>
      </c>
      <c r="N31" s="240">
        <f t="shared" si="16"/>
        <v>0</v>
      </c>
      <c r="O31" s="240">
        <f t="shared" si="16"/>
        <v>0</v>
      </c>
      <c r="P31" s="240">
        <f t="shared" si="16"/>
        <v>0</v>
      </c>
      <c r="Q31" s="240">
        <f t="shared" si="16"/>
        <v>0</v>
      </c>
      <c r="R31" s="240">
        <f t="shared" si="16"/>
        <v>0</v>
      </c>
    </row>
    <row r="32" spans="1:18" s="215" customFormat="1" ht="5.25" customHeight="1">
      <c r="A32" s="507"/>
      <c r="B32" s="507"/>
      <c r="C32" s="247"/>
      <c r="D32" s="235"/>
      <c r="E32" s="236"/>
      <c r="F32" s="236"/>
      <c r="G32" s="236"/>
      <c r="H32" s="236"/>
      <c r="I32" s="236"/>
      <c r="J32" s="236"/>
      <c r="K32" s="236"/>
      <c r="L32" s="236"/>
      <c r="M32" s="236"/>
      <c r="N32" s="236"/>
      <c r="O32" s="236"/>
      <c r="P32" s="236"/>
      <c r="Q32" s="236"/>
      <c r="R32" s="236"/>
    </row>
    <row r="33" spans="1:18" s="215" customFormat="1" ht="11.5">
      <c r="A33" s="40" t="s">
        <v>2120</v>
      </c>
      <c r="B33" s="40"/>
      <c r="C33" s="229"/>
      <c r="D33" s="248"/>
      <c r="E33" s="232"/>
      <c r="F33" s="232"/>
      <c r="G33" s="232"/>
      <c r="H33" s="232"/>
      <c r="I33" s="232"/>
      <c r="J33" s="232"/>
      <c r="K33" s="232"/>
      <c r="L33" s="232"/>
      <c r="M33" s="232"/>
      <c r="N33" s="232"/>
      <c r="O33" s="232"/>
      <c r="P33" s="232"/>
      <c r="Q33" s="232"/>
      <c r="R33" s="232"/>
    </row>
    <row r="34" spans="1:18" s="215" customFormat="1" ht="24" customHeight="1">
      <c r="A34" s="1752" t="s">
        <v>2121</v>
      </c>
      <c r="B34" s="1753"/>
      <c r="C34" s="219">
        <v>3.5000000000000003E-2</v>
      </c>
      <c r="D34" s="221">
        <f>Operating!D113-Operating!D100-Operating!D111</f>
        <v>0</v>
      </c>
      <c r="E34" s="218">
        <f t="shared" ref="E34:Q34" si="17">(1+$C$34)*D34</f>
        <v>0</v>
      </c>
      <c r="F34" s="218">
        <f t="shared" si="17"/>
        <v>0</v>
      </c>
      <c r="G34" s="218">
        <f t="shared" si="17"/>
        <v>0</v>
      </c>
      <c r="H34" s="218">
        <f t="shared" si="17"/>
        <v>0</v>
      </c>
      <c r="I34" s="218">
        <f t="shared" si="17"/>
        <v>0</v>
      </c>
      <c r="J34" s="218">
        <f t="shared" si="17"/>
        <v>0</v>
      </c>
      <c r="K34" s="218">
        <f t="shared" si="17"/>
        <v>0</v>
      </c>
      <c r="L34" s="218">
        <f t="shared" si="17"/>
        <v>0</v>
      </c>
      <c r="M34" s="218">
        <f t="shared" si="17"/>
        <v>0</v>
      </c>
      <c r="N34" s="218">
        <f t="shared" si="17"/>
        <v>0</v>
      </c>
      <c r="O34" s="218">
        <f t="shared" si="17"/>
        <v>0</v>
      </c>
      <c r="P34" s="218">
        <f t="shared" si="17"/>
        <v>0</v>
      </c>
      <c r="Q34" s="218">
        <f t="shared" si="17"/>
        <v>0</v>
      </c>
      <c r="R34" s="218">
        <f>(1+$C$34)*Q34</f>
        <v>0</v>
      </c>
    </row>
    <row r="35" spans="1:18" s="215" customFormat="1" ht="15" customHeight="1">
      <c r="A35" s="249" t="s">
        <v>2053</v>
      </c>
      <c r="B35" s="507"/>
      <c r="C35" s="219">
        <v>0.02</v>
      </c>
      <c r="D35" s="221">
        <f>Operating!D100</f>
        <v>0</v>
      </c>
      <c r="E35" s="218">
        <f>(1+$C$35)*D35</f>
        <v>0</v>
      </c>
      <c r="F35" s="218">
        <f t="shared" ref="F35:Q35" si="18">(1+$C$35)*E35</f>
        <v>0</v>
      </c>
      <c r="G35" s="218">
        <f t="shared" si="18"/>
        <v>0</v>
      </c>
      <c r="H35" s="218">
        <f t="shared" si="18"/>
        <v>0</v>
      </c>
      <c r="I35" s="218">
        <f t="shared" si="18"/>
        <v>0</v>
      </c>
      <c r="J35" s="218">
        <f t="shared" si="18"/>
        <v>0</v>
      </c>
      <c r="K35" s="218">
        <f t="shared" si="18"/>
        <v>0</v>
      </c>
      <c r="L35" s="218">
        <f t="shared" si="18"/>
        <v>0</v>
      </c>
      <c r="M35" s="218">
        <f t="shared" si="18"/>
        <v>0</v>
      </c>
      <c r="N35" s="218">
        <f t="shared" si="18"/>
        <v>0</v>
      </c>
      <c r="O35" s="218">
        <f t="shared" si="18"/>
        <v>0</v>
      </c>
      <c r="P35" s="218">
        <f t="shared" si="18"/>
        <v>0</v>
      </c>
      <c r="Q35" s="218">
        <f t="shared" si="18"/>
        <v>0</v>
      </c>
      <c r="R35" s="218">
        <f>(1+$C$35)*Q35</f>
        <v>0</v>
      </c>
    </row>
    <row r="36" spans="1:18" s="215" customFormat="1" ht="11.5">
      <c r="A36" s="249" t="s">
        <v>2122</v>
      </c>
      <c r="B36" s="249"/>
      <c r="C36" s="219">
        <v>2.5000000000000001E-2</v>
      </c>
      <c r="D36" s="221">
        <f>Operating!D111</f>
        <v>0</v>
      </c>
      <c r="E36" s="218">
        <f>(1+$C$36)*D36</f>
        <v>0</v>
      </c>
      <c r="F36" s="218">
        <f>(1+$C$36)*E36</f>
        <v>0</v>
      </c>
      <c r="G36" s="218">
        <f t="shared" ref="G36:R36" si="19">(1+$C$36)*F36</f>
        <v>0</v>
      </c>
      <c r="H36" s="218">
        <f t="shared" si="19"/>
        <v>0</v>
      </c>
      <c r="I36" s="218">
        <f t="shared" si="19"/>
        <v>0</v>
      </c>
      <c r="J36" s="218">
        <f t="shared" si="19"/>
        <v>0</v>
      </c>
      <c r="K36" s="218">
        <f t="shared" si="19"/>
        <v>0</v>
      </c>
      <c r="L36" s="218">
        <f t="shared" si="19"/>
        <v>0</v>
      </c>
      <c r="M36" s="218">
        <f t="shared" si="19"/>
        <v>0</v>
      </c>
      <c r="N36" s="218">
        <f t="shared" si="19"/>
        <v>0</v>
      </c>
      <c r="O36" s="218">
        <f t="shared" si="19"/>
        <v>0</v>
      </c>
      <c r="P36" s="218">
        <f t="shared" si="19"/>
        <v>0</v>
      </c>
      <c r="Q36" s="218">
        <f t="shared" si="19"/>
        <v>0</v>
      </c>
      <c r="R36" s="218">
        <f t="shared" si="19"/>
        <v>0</v>
      </c>
    </row>
    <row r="37" spans="1:18" s="215" customFormat="1" ht="11.5">
      <c r="A37" s="249" t="s">
        <v>1927</v>
      </c>
      <c r="B37" s="249"/>
      <c r="C37" s="219">
        <v>0</v>
      </c>
      <c r="D37" s="221">
        <f>Operating!D115+Operating!E115</f>
        <v>0</v>
      </c>
      <c r="E37" s="218">
        <f t="shared" ref="E37:Q37" si="20">(1+$C$37)*D37</f>
        <v>0</v>
      </c>
      <c r="F37" s="218">
        <f t="shared" si="20"/>
        <v>0</v>
      </c>
      <c r="G37" s="218">
        <f t="shared" si="20"/>
        <v>0</v>
      </c>
      <c r="H37" s="218">
        <f t="shared" si="20"/>
        <v>0</v>
      </c>
      <c r="I37" s="218">
        <f t="shared" si="20"/>
        <v>0</v>
      </c>
      <c r="J37" s="218">
        <f t="shared" si="20"/>
        <v>0</v>
      </c>
      <c r="K37" s="218">
        <f t="shared" si="20"/>
        <v>0</v>
      </c>
      <c r="L37" s="218">
        <f t="shared" si="20"/>
        <v>0</v>
      </c>
      <c r="M37" s="218">
        <f t="shared" si="20"/>
        <v>0</v>
      </c>
      <c r="N37" s="218">
        <f t="shared" si="20"/>
        <v>0</v>
      </c>
      <c r="O37" s="218">
        <f t="shared" si="20"/>
        <v>0</v>
      </c>
      <c r="P37" s="218">
        <f t="shared" si="20"/>
        <v>0</v>
      </c>
      <c r="Q37" s="218">
        <f t="shared" si="20"/>
        <v>0</v>
      </c>
      <c r="R37" s="218">
        <f>(1+$C$37)*Q37</f>
        <v>0</v>
      </c>
    </row>
    <row r="38" spans="1:18" s="215" customFormat="1" ht="11.5">
      <c r="A38" s="249" t="s">
        <v>2123</v>
      </c>
      <c r="B38" s="249"/>
      <c r="C38" s="219">
        <v>0</v>
      </c>
      <c r="D38" s="221">
        <f>Operating!D116+Operating!D117+Operating!D118+Operating!E116+Operating!E117+Operating!E118</f>
        <v>0</v>
      </c>
      <c r="E38" s="218">
        <f>(1+$C$38)*D38</f>
        <v>0</v>
      </c>
      <c r="F38" s="218">
        <f t="shared" ref="F38:Q38" si="21">(1+$C$38)*E38</f>
        <v>0</v>
      </c>
      <c r="G38" s="218">
        <f t="shared" si="21"/>
        <v>0</v>
      </c>
      <c r="H38" s="218">
        <f t="shared" si="21"/>
        <v>0</v>
      </c>
      <c r="I38" s="218">
        <f t="shared" si="21"/>
        <v>0</v>
      </c>
      <c r="J38" s="218">
        <f t="shared" si="21"/>
        <v>0</v>
      </c>
      <c r="K38" s="218">
        <f t="shared" si="21"/>
        <v>0</v>
      </c>
      <c r="L38" s="218">
        <f t="shared" si="21"/>
        <v>0</v>
      </c>
      <c r="M38" s="218">
        <f t="shared" si="21"/>
        <v>0</v>
      </c>
      <c r="N38" s="218">
        <f t="shared" si="21"/>
        <v>0</v>
      </c>
      <c r="O38" s="218">
        <f t="shared" si="21"/>
        <v>0</v>
      </c>
      <c r="P38" s="218">
        <f t="shared" si="21"/>
        <v>0</v>
      </c>
      <c r="Q38" s="218">
        <f t="shared" si="21"/>
        <v>0</v>
      </c>
      <c r="R38" s="218">
        <f>(1+$C$38)*Q38</f>
        <v>0</v>
      </c>
    </row>
    <row r="39" spans="1:18" s="215" customFormat="1" ht="11.5">
      <c r="A39" s="250" t="s">
        <v>2078</v>
      </c>
      <c r="B39" s="250"/>
      <c r="C39" s="219">
        <v>0.02</v>
      </c>
      <c r="D39" s="230">
        <f>Operating!D121+Operating!E121</f>
        <v>0</v>
      </c>
      <c r="E39" s="218">
        <f>(1+$C$39)*D39</f>
        <v>0</v>
      </c>
      <c r="F39" s="218">
        <f t="shared" ref="F39:Q39" si="22">(1+$C$39)*E39</f>
        <v>0</v>
      </c>
      <c r="G39" s="218">
        <f t="shared" si="22"/>
        <v>0</v>
      </c>
      <c r="H39" s="218">
        <f t="shared" si="22"/>
        <v>0</v>
      </c>
      <c r="I39" s="218">
        <f t="shared" si="22"/>
        <v>0</v>
      </c>
      <c r="J39" s="218">
        <f t="shared" si="22"/>
        <v>0</v>
      </c>
      <c r="K39" s="218">
        <f t="shared" si="22"/>
        <v>0</v>
      </c>
      <c r="L39" s="218">
        <f t="shared" si="22"/>
        <v>0</v>
      </c>
      <c r="M39" s="218">
        <f t="shared" si="22"/>
        <v>0</v>
      </c>
      <c r="N39" s="218">
        <f t="shared" si="22"/>
        <v>0</v>
      </c>
      <c r="O39" s="218">
        <f t="shared" si="22"/>
        <v>0</v>
      </c>
      <c r="P39" s="218">
        <f t="shared" si="22"/>
        <v>0</v>
      </c>
      <c r="Q39" s="218">
        <f t="shared" si="22"/>
        <v>0</v>
      </c>
      <c r="R39" s="218">
        <f>(1+$C$39)*Q39</f>
        <v>0</v>
      </c>
    </row>
    <row r="40" spans="1:18" s="215" customFormat="1" ht="11.5">
      <c r="A40" s="524" t="s">
        <v>2124</v>
      </c>
      <c r="B40" s="524"/>
      <c r="C40" s="219">
        <v>3.5000000000000003E-2</v>
      </c>
      <c r="D40" s="221">
        <f>Operating!E113</f>
        <v>0</v>
      </c>
      <c r="E40" s="218">
        <f t="shared" ref="E40:Q40" si="23">(1+$C$40)*D40</f>
        <v>0</v>
      </c>
      <c r="F40" s="218">
        <f t="shared" si="23"/>
        <v>0</v>
      </c>
      <c r="G40" s="218">
        <f t="shared" si="23"/>
        <v>0</v>
      </c>
      <c r="H40" s="218">
        <f t="shared" si="23"/>
        <v>0</v>
      </c>
      <c r="I40" s="218">
        <f t="shared" si="23"/>
        <v>0</v>
      </c>
      <c r="J40" s="218">
        <f t="shared" si="23"/>
        <v>0</v>
      </c>
      <c r="K40" s="218">
        <f t="shared" si="23"/>
        <v>0</v>
      </c>
      <c r="L40" s="218">
        <f t="shared" si="23"/>
        <v>0</v>
      </c>
      <c r="M40" s="218">
        <f t="shared" si="23"/>
        <v>0</v>
      </c>
      <c r="N40" s="218">
        <f t="shared" si="23"/>
        <v>0</v>
      </c>
      <c r="O40" s="218">
        <f t="shared" si="23"/>
        <v>0</v>
      </c>
      <c r="P40" s="218">
        <f t="shared" si="23"/>
        <v>0</v>
      </c>
      <c r="Q40" s="218">
        <f t="shared" si="23"/>
        <v>0</v>
      </c>
      <c r="R40" s="218">
        <f>(1+$C$40)*Q40</f>
        <v>0</v>
      </c>
    </row>
    <row r="41" spans="1:18" s="215" customFormat="1" ht="11.5">
      <c r="A41" s="251" t="s">
        <v>2125</v>
      </c>
      <c r="B41" s="251"/>
      <c r="C41" s="252"/>
      <c r="D41" s="620">
        <f t="shared" ref="D41:R41" si="24">SUM(D34:D40)</f>
        <v>0</v>
      </c>
      <c r="E41" s="253">
        <f t="shared" si="24"/>
        <v>0</v>
      </c>
      <c r="F41" s="253">
        <f t="shared" si="24"/>
        <v>0</v>
      </c>
      <c r="G41" s="253">
        <f t="shared" si="24"/>
        <v>0</v>
      </c>
      <c r="H41" s="253">
        <f t="shared" si="24"/>
        <v>0</v>
      </c>
      <c r="I41" s="253">
        <f t="shared" si="24"/>
        <v>0</v>
      </c>
      <c r="J41" s="253">
        <f t="shared" si="24"/>
        <v>0</v>
      </c>
      <c r="K41" s="253">
        <f t="shared" si="24"/>
        <v>0</v>
      </c>
      <c r="L41" s="253">
        <f t="shared" si="24"/>
        <v>0</v>
      </c>
      <c r="M41" s="253">
        <f t="shared" si="24"/>
        <v>0</v>
      </c>
      <c r="N41" s="253">
        <f t="shared" si="24"/>
        <v>0</v>
      </c>
      <c r="O41" s="253">
        <f t="shared" si="24"/>
        <v>0</v>
      </c>
      <c r="P41" s="253">
        <f t="shared" si="24"/>
        <v>0</v>
      </c>
      <c r="Q41" s="253">
        <f t="shared" si="24"/>
        <v>0</v>
      </c>
      <c r="R41" s="253">
        <f t="shared" si="24"/>
        <v>0</v>
      </c>
    </row>
    <row r="42" spans="1:18" s="215" customFormat="1" ht="6.75" customHeight="1">
      <c r="A42" s="254"/>
      <c r="B42" s="254"/>
      <c r="C42" s="254"/>
      <c r="D42" s="243"/>
      <c r="E42" s="244"/>
      <c r="F42" s="244"/>
      <c r="G42" s="244"/>
      <c r="H42" s="244"/>
      <c r="I42" s="244"/>
      <c r="J42" s="244"/>
      <c r="K42" s="244"/>
      <c r="L42" s="244"/>
      <c r="M42" s="244"/>
      <c r="N42" s="244"/>
      <c r="O42" s="244"/>
      <c r="P42" s="244"/>
      <c r="Q42" s="244"/>
      <c r="R42" s="244"/>
    </row>
    <row r="43" spans="1:18" s="215" customFormat="1" ht="12" thickBot="1">
      <c r="A43" s="255" t="s">
        <v>2080</v>
      </c>
      <c r="B43" s="255"/>
      <c r="C43" s="252"/>
      <c r="D43" s="256">
        <f t="shared" ref="D43:R43" si="25">D31-D41</f>
        <v>0</v>
      </c>
      <c r="E43" s="257">
        <f t="shared" si="25"/>
        <v>0</v>
      </c>
      <c r="F43" s="257">
        <f t="shared" si="25"/>
        <v>0</v>
      </c>
      <c r="G43" s="257">
        <f t="shared" si="25"/>
        <v>0</v>
      </c>
      <c r="H43" s="257">
        <f t="shared" si="25"/>
        <v>0</v>
      </c>
      <c r="I43" s="257">
        <f t="shared" si="25"/>
        <v>0</v>
      </c>
      <c r="J43" s="257">
        <f t="shared" si="25"/>
        <v>0</v>
      </c>
      <c r="K43" s="257">
        <f t="shared" si="25"/>
        <v>0</v>
      </c>
      <c r="L43" s="257">
        <f t="shared" si="25"/>
        <v>0</v>
      </c>
      <c r="M43" s="257">
        <f t="shared" si="25"/>
        <v>0</v>
      </c>
      <c r="N43" s="257">
        <f t="shared" si="25"/>
        <v>0</v>
      </c>
      <c r="O43" s="257">
        <f t="shared" si="25"/>
        <v>0</v>
      </c>
      <c r="P43" s="257">
        <f t="shared" si="25"/>
        <v>0</v>
      </c>
      <c r="Q43" s="257">
        <f t="shared" si="25"/>
        <v>0</v>
      </c>
      <c r="R43" s="257">
        <f t="shared" si="25"/>
        <v>0</v>
      </c>
    </row>
    <row r="44" spans="1:18" s="215" customFormat="1" ht="8.25" customHeight="1" thickTop="1">
      <c r="A44" s="507"/>
      <c r="B44" s="507"/>
      <c r="C44" s="258"/>
      <c r="D44" s="243"/>
      <c r="E44" s="244"/>
      <c r="F44" s="244"/>
      <c r="G44" s="244"/>
      <c r="H44" s="244"/>
      <c r="I44" s="244"/>
      <c r="J44" s="244"/>
      <c r="K44" s="244"/>
      <c r="L44" s="244"/>
      <c r="M44" s="244"/>
      <c r="N44" s="244"/>
      <c r="O44" s="244"/>
      <c r="P44" s="244"/>
      <c r="Q44" s="244"/>
      <c r="R44" s="244"/>
    </row>
    <row r="45" spans="1:18" s="215" customFormat="1" ht="11.5">
      <c r="A45" s="40" t="s">
        <v>2126</v>
      </c>
      <c r="B45" s="40"/>
      <c r="C45" s="40"/>
      <c r="D45" s="230"/>
      <c r="E45" s="231"/>
      <c r="F45" s="231"/>
      <c r="G45" s="231"/>
      <c r="H45" s="231"/>
      <c r="I45" s="231"/>
      <c r="J45" s="231"/>
      <c r="K45" s="231"/>
      <c r="L45" s="231"/>
      <c r="M45" s="231"/>
      <c r="N45" s="231"/>
      <c r="O45" s="231"/>
      <c r="P45" s="231"/>
      <c r="Q45" s="231"/>
      <c r="R45" s="231"/>
    </row>
    <row r="46" spans="1:18" s="215" customFormat="1" ht="11.5">
      <c r="A46" s="250" t="s">
        <v>2127</v>
      </c>
      <c r="B46" s="250"/>
      <c r="C46" s="250"/>
      <c r="D46" s="230">
        <f>Operating!D126+Operating!E126</f>
        <v>0</v>
      </c>
      <c r="E46" s="259">
        <f t="shared" ref="E46:R46" si="26">$D$46</f>
        <v>0</v>
      </c>
      <c r="F46" s="259">
        <f t="shared" si="26"/>
        <v>0</v>
      </c>
      <c r="G46" s="259">
        <f t="shared" si="26"/>
        <v>0</v>
      </c>
      <c r="H46" s="259">
        <f t="shared" si="26"/>
        <v>0</v>
      </c>
      <c r="I46" s="259">
        <f t="shared" si="26"/>
        <v>0</v>
      </c>
      <c r="J46" s="259">
        <f t="shared" si="26"/>
        <v>0</v>
      </c>
      <c r="K46" s="259">
        <f t="shared" si="26"/>
        <v>0</v>
      </c>
      <c r="L46" s="259">
        <f t="shared" si="26"/>
        <v>0</v>
      </c>
      <c r="M46" s="259">
        <f t="shared" si="26"/>
        <v>0</v>
      </c>
      <c r="N46" s="259">
        <f t="shared" si="26"/>
        <v>0</v>
      </c>
      <c r="O46" s="259">
        <f t="shared" si="26"/>
        <v>0</v>
      </c>
      <c r="P46" s="259">
        <f t="shared" si="26"/>
        <v>0</v>
      </c>
      <c r="Q46" s="259">
        <f t="shared" si="26"/>
        <v>0</v>
      </c>
      <c r="R46" s="259">
        <f t="shared" si="26"/>
        <v>0</v>
      </c>
    </row>
    <row r="47" spans="1:18" s="215" customFormat="1" ht="11.5">
      <c r="A47" s="250" t="s">
        <v>2128</v>
      </c>
      <c r="B47" s="250"/>
      <c r="C47" s="250"/>
      <c r="D47" s="260">
        <v>0</v>
      </c>
      <c r="E47" s="223">
        <v>0</v>
      </c>
      <c r="F47" s="223">
        <v>0</v>
      </c>
      <c r="G47" s="223">
        <v>0</v>
      </c>
      <c r="H47" s="223">
        <v>0</v>
      </c>
      <c r="I47" s="259"/>
      <c r="J47" s="259"/>
      <c r="K47" s="259"/>
      <c r="L47" s="259"/>
      <c r="M47" s="259"/>
      <c r="N47" s="259"/>
      <c r="O47" s="259"/>
      <c r="P47" s="259"/>
      <c r="Q47" s="259"/>
      <c r="R47" s="259"/>
    </row>
    <row r="48" spans="1:18" s="215" customFormat="1" ht="11.5">
      <c r="A48" s="250" t="s">
        <v>2129</v>
      </c>
      <c r="B48" s="250"/>
      <c r="C48" s="250"/>
      <c r="D48" s="230">
        <f>Operating!D127+Operating!E127</f>
        <v>0</v>
      </c>
      <c r="E48" s="259">
        <f t="shared" ref="E48:R48" si="27">$D$48</f>
        <v>0</v>
      </c>
      <c r="F48" s="259">
        <f t="shared" si="27"/>
        <v>0</v>
      </c>
      <c r="G48" s="259">
        <f t="shared" si="27"/>
        <v>0</v>
      </c>
      <c r="H48" s="259">
        <f t="shared" si="27"/>
        <v>0</v>
      </c>
      <c r="I48" s="259">
        <f t="shared" si="27"/>
        <v>0</v>
      </c>
      <c r="J48" s="259">
        <f t="shared" si="27"/>
        <v>0</v>
      </c>
      <c r="K48" s="259">
        <f t="shared" si="27"/>
        <v>0</v>
      </c>
      <c r="L48" s="259">
        <f t="shared" si="27"/>
        <v>0</v>
      </c>
      <c r="M48" s="259">
        <f t="shared" si="27"/>
        <v>0</v>
      </c>
      <c r="N48" s="259">
        <f t="shared" si="27"/>
        <v>0</v>
      </c>
      <c r="O48" s="259">
        <f t="shared" si="27"/>
        <v>0</v>
      </c>
      <c r="P48" s="259">
        <f t="shared" si="27"/>
        <v>0</v>
      </c>
      <c r="Q48" s="259">
        <f t="shared" si="27"/>
        <v>0</v>
      </c>
      <c r="R48" s="259">
        <f t="shared" si="27"/>
        <v>0</v>
      </c>
    </row>
    <row r="49" spans="1:18" s="215" customFormat="1" ht="11.5">
      <c r="A49" s="250" t="s">
        <v>2084</v>
      </c>
      <c r="B49" s="250"/>
      <c r="C49" s="250"/>
      <c r="D49" s="230">
        <f>Operating!D128+Operating!E128</f>
        <v>0</v>
      </c>
      <c r="E49" s="259">
        <f t="shared" ref="E49:R49" si="28">$D$49</f>
        <v>0</v>
      </c>
      <c r="F49" s="259">
        <f t="shared" si="28"/>
        <v>0</v>
      </c>
      <c r="G49" s="259">
        <f t="shared" si="28"/>
        <v>0</v>
      </c>
      <c r="H49" s="259">
        <f t="shared" si="28"/>
        <v>0</v>
      </c>
      <c r="I49" s="259">
        <f t="shared" si="28"/>
        <v>0</v>
      </c>
      <c r="J49" s="259">
        <f t="shared" si="28"/>
        <v>0</v>
      </c>
      <c r="K49" s="259">
        <f t="shared" si="28"/>
        <v>0</v>
      </c>
      <c r="L49" s="259">
        <f t="shared" si="28"/>
        <v>0</v>
      </c>
      <c r="M49" s="259">
        <f t="shared" si="28"/>
        <v>0</v>
      </c>
      <c r="N49" s="259">
        <f t="shared" si="28"/>
        <v>0</v>
      </c>
      <c r="O49" s="259">
        <f t="shared" si="28"/>
        <v>0</v>
      </c>
      <c r="P49" s="259">
        <f t="shared" si="28"/>
        <v>0</v>
      </c>
      <c r="Q49" s="259">
        <f t="shared" si="28"/>
        <v>0</v>
      </c>
      <c r="R49" s="259">
        <f t="shared" si="28"/>
        <v>0</v>
      </c>
    </row>
    <row r="50" spans="1:18" s="215" customFormat="1" ht="11.5">
      <c r="A50" s="250" t="str">
        <f>Operating!C129</f>
        <v>Misc. Financial Expenses: (specify)</v>
      </c>
      <c r="B50" s="250"/>
      <c r="C50" s="219">
        <v>0.03</v>
      </c>
      <c r="D50" s="230">
        <f>Operating!D129+Operating!E129</f>
        <v>0</v>
      </c>
      <c r="E50" s="218">
        <f>(1+$C$50)*D50</f>
        <v>0</v>
      </c>
      <c r="F50" s="218">
        <f t="shared" ref="F50:R50" si="29">(1+$C$50)*E50</f>
        <v>0</v>
      </c>
      <c r="G50" s="218">
        <f t="shared" si="29"/>
        <v>0</v>
      </c>
      <c r="H50" s="218">
        <f t="shared" si="29"/>
        <v>0</v>
      </c>
      <c r="I50" s="218">
        <f t="shared" si="29"/>
        <v>0</v>
      </c>
      <c r="J50" s="218">
        <f t="shared" si="29"/>
        <v>0</v>
      </c>
      <c r="K50" s="218">
        <f t="shared" si="29"/>
        <v>0</v>
      </c>
      <c r="L50" s="218">
        <f t="shared" si="29"/>
        <v>0</v>
      </c>
      <c r="M50" s="218">
        <f t="shared" si="29"/>
        <v>0</v>
      </c>
      <c r="N50" s="218">
        <f t="shared" si="29"/>
        <v>0</v>
      </c>
      <c r="O50" s="218">
        <f t="shared" si="29"/>
        <v>0</v>
      </c>
      <c r="P50" s="218">
        <f t="shared" si="29"/>
        <v>0</v>
      </c>
      <c r="Q50" s="218">
        <f t="shared" si="29"/>
        <v>0</v>
      </c>
      <c r="R50" s="218">
        <f t="shared" si="29"/>
        <v>0</v>
      </c>
    </row>
    <row r="51" spans="1:18" s="215" customFormat="1" ht="11.5">
      <c r="A51" s="250" t="str">
        <f>Operating!C130</f>
        <v>Misc. Financial Expenses: (specify)</v>
      </c>
      <c r="B51" s="250"/>
      <c r="C51" s="250"/>
      <c r="D51" s="230">
        <f>Operating!D130+Operating!E130</f>
        <v>0</v>
      </c>
      <c r="E51" s="259">
        <f>$D$51</f>
        <v>0</v>
      </c>
      <c r="F51" s="259">
        <f t="shared" ref="F51:R51" si="30">$D$51</f>
        <v>0</v>
      </c>
      <c r="G51" s="259">
        <f t="shared" si="30"/>
        <v>0</v>
      </c>
      <c r="H51" s="259">
        <f t="shared" si="30"/>
        <v>0</v>
      </c>
      <c r="I51" s="259">
        <f t="shared" si="30"/>
        <v>0</v>
      </c>
      <c r="J51" s="259">
        <f t="shared" si="30"/>
        <v>0</v>
      </c>
      <c r="K51" s="259">
        <f t="shared" si="30"/>
        <v>0</v>
      </c>
      <c r="L51" s="259">
        <f t="shared" si="30"/>
        <v>0</v>
      </c>
      <c r="M51" s="259">
        <f t="shared" si="30"/>
        <v>0</v>
      </c>
      <c r="N51" s="259">
        <f t="shared" si="30"/>
        <v>0</v>
      </c>
      <c r="O51" s="259">
        <f t="shared" si="30"/>
        <v>0</v>
      </c>
      <c r="P51" s="259">
        <f t="shared" si="30"/>
        <v>0</v>
      </c>
      <c r="Q51" s="259">
        <f t="shared" si="30"/>
        <v>0</v>
      </c>
      <c r="R51" s="259">
        <f t="shared" si="30"/>
        <v>0</v>
      </c>
    </row>
    <row r="52" spans="1:18" s="215" customFormat="1" ht="11.5">
      <c r="A52" s="250" t="str">
        <f>Operating!C131</f>
        <v>Misc. Financial Expenses: (specify)</v>
      </c>
      <c r="B52" s="250"/>
      <c r="C52" s="250"/>
      <c r="D52" s="230">
        <f>Operating!D131+Operating!E131</f>
        <v>0</v>
      </c>
      <c r="E52" s="259">
        <f>$D$52</f>
        <v>0</v>
      </c>
      <c r="F52" s="259">
        <f t="shared" ref="F52:R52" si="31">$D$52</f>
        <v>0</v>
      </c>
      <c r="G52" s="259">
        <f t="shared" si="31"/>
        <v>0</v>
      </c>
      <c r="H52" s="259">
        <f t="shared" si="31"/>
        <v>0</v>
      </c>
      <c r="I52" s="259">
        <f t="shared" si="31"/>
        <v>0</v>
      </c>
      <c r="J52" s="259">
        <f t="shared" si="31"/>
        <v>0</v>
      </c>
      <c r="K52" s="259">
        <f t="shared" si="31"/>
        <v>0</v>
      </c>
      <c r="L52" s="259">
        <f t="shared" si="31"/>
        <v>0</v>
      </c>
      <c r="M52" s="259">
        <f t="shared" si="31"/>
        <v>0</v>
      </c>
      <c r="N52" s="259">
        <f t="shared" si="31"/>
        <v>0</v>
      </c>
      <c r="O52" s="259">
        <f t="shared" si="31"/>
        <v>0</v>
      </c>
      <c r="P52" s="259">
        <f t="shared" si="31"/>
        <v>0</v>
      </c>
      <c r="Q52" s="259">
        <f t="shared" si="31"/>
        <v>0</v>
      </c>
      <c r="R52" s="259">
        <f t="shared" si="31"/>
        <v>0</v>
      </c>
    </row>
    <row r="53" spans="1:18" s="215" customFormat="1" ht="11.5">
      <c r="A53" s="250" t="str">
        <f>Operating!C132</f>
        <v>Misc. Financial Expenses: (specify)</v>
      </c>
      <c r="B53" s="250"/>
      <c r="C53" s="250"/>
      <c r="D53" s="230">
        <f>Operating!D132+Operating!E132</f>
        <v>0</v>
      </c>
      <c r="E53" s="259">
        <f>$D$53</f>
        <v>0</v>
      </c>
      <c r="F53" s="259">
        <f t="shared" ref="F53:R53" si="32">$D$53</f>
        <v>0</v>
      </c>
      <c r="G53" s="259">
        <f t="shared" si="32"/>
        <v>0</v>
      </c>
      <c r="H53" s="259">
        <f t="shared" si="32"/>
        <v>0</v>
      </c>
      <c r="I53" s="259">
        <f t="shared" si="32"/>
        <v>0</v>
      </c>
      <c r="J53" s="259">
        <f t="shared" si="32"/>
        <v>0</v>
      </c>
      <c r="K53" s="259">
        <f t="shared" si="32"/>
        <v>0</v>
      </c>
      <c r="L53" s="259">
        <f t="shared" si="32"/>
        <v>0</v>
      </c>
      <c r="M53" s="259">
        <f t="shared" si="32"/>
        <v>0</v>
      </c>
      <c r="N53" s="259">
        <f t="shared" si="32"/>
        <v>0</v>
      </c>
      <c r="O53" s="259">
        <f t="shared" si="32"/>
        <v>0</v>
      </c>
      <c r="P53" s="259">
        <f t="shared" si="32"/>
        <v>0</v>
      </c>
      <c r="Q53" s="259">
        <f t="shared" si="32"/>
        <v>0</v>
      </c>
      <c r="R53" s="259">
        <f t="shared" si="32"/>
        <v>0</v>
      </c>
    </row>
    <row r="54" spans="1:18" s="265" customFormat="1" ht="12" customHeight="1" thickBot="1">
      <c r="A54" s="261" t="s">
        <v>2130</v>
      </c>
      <c r="B54" s="262"/>
      <c r="C54" s="262"/>
      <c r="D54" s="263">
        <f>SUM(D46:D53)-D47</f>
        <v>0</v>
      </c>
      <c r="E54" s="264">
        <f t="shared" ref="E54:R54" si="33">SUM(E46:E53)-E47</f>
        <v>0</v>
      </c>
      <c r="F54" s="264">
        <f t="shared" si="33"/>
        <v>0</v>
      </c>
      <c r="G54" s="264">
        <f t="shared" si="33"/>
        <v>0</v>
      </c>
      <c r="H54" s="264">
        <f t="shared" si="33"/>
        <v>0</v>
      </c>
      <c r="I54" s="264">
        <f t="shared" si="33"/>
        <v>0</v>
      </c>
      <c r="J54" s="264">
        <f t="shared" si="33"/>
        <v>0</v>
      </c>
      <c r="K54" s="264">
        <f t="shared" si="33"/>
        <v>0</v>
      </c>
      <c r="L54" s="264">
        <f t="shared" si="33"/>
        <v>0</v>
      </c>
      <c r="M54" s="264">
        <f t="shared" si="33"/>
        <v>0</v>
      </c>
      <c r="N54" s="264">
        <f t="shared" si="33"/>
        <v>0</v>
      </c>
      <c r="O54" s="264">
        <f t="shared" si="33"/>
        <v>0</v>
      </c>
      <c r="P54" s="264">
        <f t="shared" si="33"/>
        <v>0</v>
      </c>
      <c r="Q54" s="264">
        <f t="shared" si="33"/>
        <v>0</v>
      </c>
      <c r="R54" s="264">
        <f t="shared" si="33"/>
        <v>0</v>
      </c>
    </row>
    <row r="55" spans="1:18" s="215" customFormat="1" ht="12" thickTop="1">
      <c r="A55" s="250"/>
      <c r="B55" s="250"/>
      <c r="C55" s="266"/>
      <c r="D55" s="244"/>
      <c r="E55" s="244"/>
      <c r="F55" s="244"/>
      <c r="G55" s="244"/>
      <c r="H55" s="244"/>
      <c r="I55" s="244"/>
      <c r="J55" s="244"/>
      <c r="K55" s="244"/>
      <c r="L55" s="244"/>
      <c r="M55" s="244"/>
      <c r="N55" s="244"/>
      <c r="O55" s="244"/>
      <c r="P55" s="244"/>
      <c r="Q55" s="244"/>
      <c r="R55" s="244"/>
    </row>
    <row r="56" spans="1:18" s="215" customFormat="1" ht="5.25" customHeight="1">
      <c r="A56" s="250"/>
      <c r="B56" s="250"/>
      <c r="C56" s="266"/>
      <c r="D56" s="244"/>
      <c r="E56" s="244"/>
      <c r="F56" s="244"/>
      <c r="G56" s="244"/>
      <c r="H56" s="244"/>
      <c r="I56" s="244"/>
      <c r="J56" s="244"/>
      <c r="K56" s="244"/>
      <c r="L56" s="244"/>
      <c r="M56" s="244"/>
      <c r="N56" s="244"/>
      <c r="O56" s="244"/>
      <c r="P56" s="244"/>
      <c r="Q56" s="244"/>
      <c r="R56" s="244"/>
    </row>
    <row r="57" spans="1:18" s="215" customFormat="1" ht="11.5">
      <c r="A57" s="255" t="s">
        <v>2131</v>
      </c>
      <c r="B57" s="255"/>
      <c r="C57" s="255"/>
      <c r="D57" s="267">
        <f t="shared" ref="D57:R57" si="34">D43-D54</f>
        <v>0</v>
      </c>
      <c r="E57" s="267">
        <f t="shared" si="34"/>
        <v>0</v>
      </c>
      <c r="F57" s="267">
        <f t="shared" si="34"/>
        <v>0</v>
      </c>
      <c r="G57" s="267">
        <f t="shared" si="34"/>
        <v>0</v>
      </c>
      <c r="H57" s="267">
        <f t="shared" si="34"/>
        <v>0</v>
      </c>
      <c r="I57" s="267">
        <f t="shared" si="34"/>
        <v>0</v>
      </c>
      <c r="J57" s="267">
        <f t="shared" si="34"/>
        <v>0</v>
      </c>
      <c r="K57" s="267">
        <f t="shared" si="34"/>
        <v>0</v>
      </c>
      <c r="L57" s="267">
        <f t="shared" si="34"/>
        <v>0</v>
      </c>
      <c r="M57" s="267">
        <f t="shared" si="34"/>
        <v>0</v>
      </c>
      <c r="N57" s="267">
        <f t="shared" si="34"/>
        <v>0</v>
      </c>
      <c r="O57" s="267">
        <f t="shared" si="34"/>
        <v>0</v>
      </c>
      <c r="P57" s="267">
        <f t="shared" si="34"/>
        <v>0</v>
      </c>
      <c r="Q57" s="267">
        <f t="shared" si="34"/>
        <v>0</v>
      </c>
      <c r="R57" s="267">
        <f t="shared" si="34"/>
        <v>0</v>
      </c>
    </row>
    <row r="58" spans="1:18" s="215" customFormat="1" ht="5.25" customHeight="1">
      <c r="A58" s="268"/>
      <c r="B58" s="268"/>
      <c r="C58" s="266"/>
      <c r="D58" s="244"/>
      <c r="E58" s="244"/>
      <c r="F58" s="244"/>
      <c r="G58" s="244"/>
      <c r="H58" s="244"/>
      <c r="I58" s="244"/>
      <c r="J58" s="244"/>
      <c r="K58" s="244"/>
      <c r="L58" s="244"/>
      <c r="M58" s="244"/>
      <c r="N58" s="244"/>
      <c r="O58" s="244"/>
      <c r="P58" s="244"/>
      <c r="Q58" s="244"/>
      <c r="R58" s="244"/>
    </row>
    <row r="59" spans="1:18" s="215" customFormat="1" ht="11.5">
      <c r="A59" s="269" t="s">
        <v>2132</v>
      </c>
      <c r="B59" s="269"/>
      <c r="C59" s="252"/>
      <c r="D59" s="270">
        <f>IF(D54&lt;=0,0,((D43/D54)))</f>
        <v>0</v>
      </c>
      <c r="E59" s="270">
        <f t="shared" ref="E59:R59" si="35">IF(E54&lt;=0,0,((E43/E54)))</f>
        <v>0</v>
      </c>
      <c r="F59" s="270">
        <f t="shared" si="35"/>
        <v>0</v>
      </c>
      <c r="G59" s="270">
        <f t="shared" si="35"/>
        <v>0</v>
      </c>
      <c r="H59" s="270">
        <f t="shared" si="35"/>
        <v>0</v>
      </c>
      <c r="I59" s="270">
        <f t="shared" si="35"/>
        <v>0</v>
      </c>
      <c r="J59" s="270">
        <f t="shared" si="35"/>
        <v>0</v>
      </c>
      <c r="K59" s="270">
        <f t="shared" si="35"/>
        <v>0</v>
      </c>
      <c r="L59" s="270">
        <f t="shared" si="35"/>
        <v>0</v>
      </c>
      <c r="M59" s="270">
        <f t="shared" si="35"/>
        <v>0</v>
      </c>
      <c r="N59" s="270">
        <f t="shared" si="35"/>
        <v>0</v>
      </c>
      <c r="O59" s="270">
        <f t="shared" si="35"/>
        <v>0</v>
      </c>
      <c r="P59" s="270">
        <f t="shared" si="35"/>
        <v>0</v>
      </c>
      <c r="Q59" s="270">
        <f t="shared" si="35"/>
        <v>0</v>
      </c>
      <c r="R59" s="270">
        <f t="shared" si="35"/>
        <v>0</v>
      </c>
    </row>
    <row r="60" spans="1:18" s="215" customFormat="1" ht="11.5">
      <c r="A60" s="254" t="s">
        <v>2133</v>
      </c>
      <c r="B60" s="271"/>
      <c r="C60" s="272"/>
      <c r="D60" s="273"/>
      <c r="E60" s="274"/>
      <c r="F60" s="274"/>
      <c r="G60" s="274"/>
      <c r="H60" s="274"/>
      <c r="I60" s="274"/>
      <c r="J60" s="274"/>
      <c r="K60" s="274"/>
      <c r="L60" s="274"/>
      <c r="M60" s="274"/>
      <c r="N60" s="274"/>
      <c r="O60" s="274"/>
      <c r="P60" s="274"/>
      <c r="Q60" s="274"/>
      <c r="R60" s="274"/>
    </row>
    <row r="61" spans="1:18" s="215" customFormat="1" ht="11.5">
      <c r="A61" s="250" t="s">
        <v>2134</v>
      </c>
      <c r="B61" s="271"/>
      <c r="C61" s="507"/>
      <c r="D61" s="275">
        <f t="shared" ref="D61:R61" si="36">IF(D57&gt;=D62,D62,MAX(0,D57))</f>
        <v>0</v>
      </c>
      <c r="E61" s="275">
        <f t="shared" si="36"/>
        <v>0</v>
      </c>
      <c r="F61" s="275">
        <f t="shared" si="36"/>
        <v>0</v>
      </c>
      <c r="G61" s="275">
        <f t="shared" si="36"/>
        <v>0</v>
      </c>
      <c r="H61" s="275">
        <f t="shared" si="36"/>
        <v>0</v>
      </c>
      <c r="I61" s="275">
        <f t="shared" si="36"/>
        <v>0</v>
      </c>
      <c r="J61" s="275">
        <f t="shared" si="36"/>
        <v>0</v>
      </c>
      <c r="K61" s="275">
        <f t="shared" si="36"/>
        <v>0</v>
      </c>
      <c r="L61" s="275">
        <f t="shared" si="36"/>
        <v>0</v>
      </c>
      <c r="M61" s="275">
        <f t="shared" si="36"/>
        <v>0</v>
      </c>
      <c r="N61" s="275">
        <f t="shared" si="36"/>
        <v>0</v>
      </c>
      <c r="O61" s="275">
        <f t="shared" si="36"/>
        <v>0</v>
      </c>
      <c r="P61" s="275">
        <f t="shared" si="36"/>
        <v>0</v>
      </c>
      <c r="Q61" s="275">
        <f t="shared" si="36"/>
        <v>0</v>
      </c>
      <c r="R61" s="275">
        <f t="shared" si="36"/>
        <v>0</v>
      </c>
    </row>
    <row r="62" spans="1:18" s="215" customFormat="1" ht="11.5">
      <c r="A62" s="250" t="s">
        <v>2135</v>
      </c>
      <c r="B62" s="507"/>
      <c r="C62" s="219">
        <v>3.5000000000000003E-2</v>
      </c>
      <c r="D62" s="231">
        <f>Operating!D136</f>
        <v>0</v>
      </c>
      <c r="E62" s="231">
        <f>(1+$C$62)*D62</f>
        <v>0</v>
      </c>
      <c r="F62" s="231">
        <f t="shared" ref="F62:Q62" si="37">(1+$C$62)*E62</f>
        <v>0</v>
      </c>
      <c r="G62" s="231">
        <f t="shared" si="37"/>
        <v>0</v>
      </c>
      <c r="H62" s="231">
        <f t="shared" si="37"/>
        <v>0</v>
      </c>
      <c r="I62" s="231">
        <f t="shared" si="37"/>
        <v>0</v>
      </c>
      <c r="J62" s="231">
        <f t="shared" si="37"/>
        <v>0</v>
      </c>
      <c r="K62" s="231">
        <f t="shared" si="37"/>
        <v>0</v>
      </c>
      <c r="L62" s="231">
        <f t="shared" si="37"/>
        <v>0</v>
      </c>
      <c r="M62" s="231">
        <f t="shared" si="37"/>
        <v>0</v>
      </c>
      <c r="N62" s="231">
        <f t="shared" si="37"/>
        <v>0</v>
      </c>
      <c r="O62" s="231">
        <f t="shared" si="37"/>
        <v>0</v>
      </c>
      <c r="P62" s="231">
        <f t="shared" si="37"/>
        <v>0</v>
      </c>
      <c r="Q62" s="231">
        <f t="shared" si="37"/>
        <v>0</v>
      </c>
      <c r="R62" s="231">
        <f>(1+$C$62)*Q62</f>
        <v>0</v>
      </c>
    </row>
    <row r="63" spans="1:18">
      <c r="A63" s="507" t="s">
        <v>2136</v>
      </c>
      <c r="D63" s="330">
        <f>D54*1.1</f>
        <v>0</v>
      </c>
    </row>
    <row r="64" spans="1:18">
      <c r="A64" s="75" t="s">
        <v>2137</v>
      </c>
      <c r="D64" s="330">
        <f>-D63+D43</f>
        <v>0</v>
      </c>
    </row>
    <row r="66" spans="1:33" s="414" customFormat="1" ht="11.5">
      <c r="A66" s="412" t="s">
        <v>2138</v>
      </c>
      <c r="B66" s="413"/>
      <c r="D66" s="451">
        <f>Overview!AI19</f>
        <v>0</v>
      </c>
      <c r="U66" s="415"/>
    </row>
    <row r="67" spans="1:33" s="414" customFormat="1" ht="11.5">
      <c r="A67" s="416" t="s">
        <v>2139</v>
      </c>
      <c r="B67" s="413"/>
      <c r="D67" s="417">
        <f t="shared" ref="D67:R67" si="38">D43</f>
        <v>0</v>
      </c>
      <c r="E67" s="417">
        <f t="shared" si="38"/>
        <v>0</v>
      </c>
      <c r="F67" s="417">
        <f t="shared" si="38"/>
        <v>0</v>
      </c>
      <c r="G67" s="417">
        <f t="shared" si="38"/>
        <v>0</v>
      </c>
      <c r="H67" s="417">
        <f t="shared" si="38"/>
        <v>0</v>
      </c>
      <c r="I67" s="417">
        <f t="shared" si="38"/>
        <v>0</v>
      </c>
      <c r="J67" s="417">
        <f t="shared" si="38"/>
        <v>0</v>
      </c>
      <c r="K67" s="417">
        <f t="shared" si="38"/>
        <v>0</v>
      </c>
      <c r="L67" s="417">
        <f t="shared" si="38"/>
        <v>0</v>
      </c>
      <c r="M67" s="417">
        <f t="shared" si="38"/>
        <v>0</v>
      </c>
      <c r="N67" s="417">
        <f t="shared" si="38"/>
        <v>0</v>
      </c>
      <c r="O67" s="417">
        <f t="shared" si="38"/>
        <v>0</v>
      </c>
      <c r="P67" s="417">
        <f t="shared" si="38"/>
        <v>0</v>
      </c>
      <c r="Q67" s="417">
        <f t="shared" si="38"/>
        <v>0</v>
      </c>
      <c r="R67" s="417">
        <f t="shared" si="38"/>
        <v>0</v>
      </c>
      <c r="S67" s="417"/>
      <c r="T67" s="417"/>
      <c r="U67" s="417"/>
      <c r="V67" s="417"/>
      <c r="W67" s="417"/>
      <c r="X67" s="418"/>
      <c r="Y67" s="418"/>
      <c r="Z67" s="418"/>
      <c r="AA67" s="418"/>
      <c r="AB67" s="418"/>
      <c r="AC67" s="418"/>
      <c r="AD67" s="418"/>
      <c r="AE67" s="418"/>
      <c r="AF67" s="418"/>
      <c r="AG67" s="418"/>
    </row>
    <row r="68" spans="1:33" s="414" customFormat="1" ht="11.5">
      <c r="A68" s="416" t="s">
        <v>2131</v>
      </c>
      <c r="B68" s="419"/>
      <c r="C68" s="419"/>
      <c r="D68" s="417">
        <f t="shared" ref="D68:R68" si="39">D57</f>
        <v>0</v>
      </c>
      <c r="E68" s="417">
        <f t="shared" si="39"/>
        <v>0</v>
      </c>
      <c r="F68" s="417">
        <f t="shared" si="39"/>
        <v>0</v>
      </c>
      <c r="G68" s="417">
        <f t="shared" si="39"/>
        <v>0</v>
      </c>
      <c r="H68" s="417">
        <f t="shared" si="39"/>
        <v>0</v>
      </c>
      <c r="I68" s="417">
        <f t="shared" si="39"/>
        <v>0</v>
      </c>
      <c r="J68" s="417">
        <f t="shared" si="39"/>
        <v>0</v>
      </c>
      <c r="K68" s="417">
        <f t="shared" si="39"/>
        <v>0</v>
      </c>
      <c r="L68" s="417">
        <f t="shared" si="39"/>
        <v>0</v>
      </c>
      <c r="M68" s="417">
        <f t="shared" si="39"/>
        <v>0</v>
      </c>
      <c r="N68" s="417">
        <f t="shared" si="39"/>
        <v>0</v>
      </c>
      <c r="O68" s="417">
        <f t="shared" si="39"/>
        <v>0</v>
      </c>
      <c r="P68" s="417">
        <f t="shared" si="39"/>
        <v>0</v>
      </c>
      <c r="Q68" s="417">
        <f t="shared" si="39"/>
        <v>0</v>
      </c>
      <c r="R68" s="417">
        <f t="shared" si="39"/>
        <v>0</v>
      </c>
      <c r="S68" s="417"/>
      <c r="T68" s="417"/>
      <c r="U68" s="417"/>
      <c r="V68" s="417"/>
      <c r="W68" s="417"/>
      <c r="X68" s="418"/>
      <c r="Y68" s="418"/>
      <c r="Z68" s="418"/>
      <c r="AA68" s="418"/>
      <c r="AB68" s="418"/>
      <c r="AC68" s="418"/>
      <c r="AD68" s="418"/>
      <c r="AE68" s="418"/>
      <c r="AF68" s="418"/>
      <c r="AG68" s="418"/>
    </row>
    <row r="69" spans="1:33" s="423" customFormat="1">
      <c r="A69" s="427" t="s">
        <v>2140</v>
      </c>
      <c r="B69" s="420"/>
      <c r="C69" s="420"/>
      <c r="D69" s="452">
        <v>0</v>
      </c>
      <c r="E69" s="452">
        <v>0</v>
      </c>
      <c r="F69" s="452">
        <v>0</v>
      </c>
      <c r="G69" s="452">
        <v>0</v>
      </c>
      <c r="H69" s="452">
        <v>0</v>
      </c>
      <c r="I69" s="505">
        <v>0</v>
      </c>
      <c r="J69" s="505">
        <v>0</v>
      </c>
      <c r="K69" s="505">
        <v>0</v>
      </c>
      <c r="L69" s="505">
        <v>0</v>
      </c>
      <c r="M69" s="505">
        <v>0</v>
      </c>
      <c r="N69" s="505">
        <v>0</v>
      </c>
      <c r="O69" s="505">
        <v>0</v>
      </c>
      <c r="P69" s="505">
        <v>0</v>
      </c>
      <c r="Q69" s="505">
        <v>0</v>
      </c>
      <c r="R69" s="505">
        <v>0</v>
      </c>
      <c r="S69" s="421"/>
      <c r="T69" s="421"/>
      <c r="U69" s="421"/>
      <c r="V69" s="421"/>
      <c r="W69" s="421"/>
      <c r="X69" s="422"/>
      <c r="Y69" s="422"/>
      <c r="Z69" s="422"/>
      <c r="AA69" s="422"/>
      <c r="AB69" s="422"/>
      <c r="AC69" s="422"/>
      <c r="AD69" s="422"/>
      <c r="AE69" s="422"/>
      <c r="AF69" s="422"/>
      <c r="AG69" s="422"/>
    </row>
    <row r="70" spans="1:33" s="423" customFormat="1">
      <c r="A70" s="1747" t="s">
        <v>2141</v>
      </c>
      <c r="B70" s="1748"/>
      <c r="C70" s="1748"/>
      <c r="D70" s="421">
        <f>D68+D69</f>
        <v>0</v>
      </c>
      <c r="E70" s="421">
        <f t="shared" ref="E70:R70" si="40">E68+E69</f>
        <v>0</v>
      </c>
      <c r="F70" s="421">
        <f t="shared" si="40"/>
        <v>0</v>
      </c>
      <c r="G70" s="421">
        <f t="shared" si="40"/>
        <v>0</v>
      </c>
      <c r="H70" s="421">
        <f t="shared" si="40"/>
        <v>0</v>
      </c>
      <c r="I70" s="506">
        <f t="shared" si="40"/>
        <v>0</v>
      </c>
      <c r="J70" s="506">
        <f t="shared" si="40"/>
        <v>0</v>
      </c>
      <c r="K70" s="506">
        <f t="shared" si="40"/>
        <v>0</v>
      </c>
      <c r="L70" s="506">
        <f t="shared" si="40"/>
        <v>0</v>
      </c>
      <c r="M70" s="506">
        <f t="shared" si="40"/>
        <v>0</v>
      </c>
      <c r="N70" s="506">
        <f t="shared" si="40"/>
        <v>0</v>
      </c>
      <c r="O70" s="506">
        <f t="shared" si="40"/>
        <v>0</v>
      </c>
      <c r="P70" s="506">
        <f t="shared" si="40"/>
        <v>0</v>
      </c>
      <c r="Q70" s="506">
        <f t="shared" si="40"/>
        <v>0</v>
      </c>
      <c r="R70" s="506">
        <f t="shared" si="40"/>
        <v>0</v>
      </c>
      <c r="S70" s="421"/>
      <c r="T70" s="421"/>
      <c r="U70" s="421"/>
      <c r="V70" s="421"/>
      <c r="W70" s="421"/>
      <c r="X70" s="422"/>
      <c r="Y70" s="422"/>
      <c r="Z70" s="422"/>
      <c r="AA70" s="422"/>
      <c r="AB70" s="422"/>
      <c r="AC70" s="422"/>
      <c r="AD70" s="422"/>
      <c r="AE70" s="422"/>
      <c r="AF70" s="422"/>
      <c r="AG70" s="422"/>
    </row>
    <row r="71" spans="1:33" s="423" customFormat="1">
      <c r="A71" s="1747" t="s">
        <v>2142</v>
      </c>
      <c r="B71" s="1748"/>
      <c r="C71" s="1748"/>
      <c r="D71" s="421">
        <f t="shared" ref="D71:R71" si="41">D67+D69</f>
        <v>0</v>
      </c>
      <c r="E71" s="421">
        <f t="shared" si="41"/>
        <v>0</v>
      </c>
      <c r="F71" s="421">
        <f t="shared" si="41"/>
        <v>0</v>
      </c>
      <c r="G71" s="421">
        <f t="shared" si="41"/>
        <v>0</v>
      </c>
      <c r="H71" s="421">
        <f t="shared" si="41"/>
        <v>0</v>
      </c>
      <c r="I71" s="506">
        <f t="shared" si="41"/>
        <v>0</v>
      </c>
      <c r="J71" s="506">
        <f t="shared" si="41"/>
        <v>0</v>
      </c>
      <c r="K71" s="506">
        <f t="shared" si="41"/>
        <v>0</v>
      </c>
      <c r="L71" s="506">
        <f t="shared" si="41"/>
        <v>0</v>
      </c>
      <c r="M71" s="506">
        <f t="shared" si="41"/>
        <v>0</v>
      </c>
      <c r="N71" s="506">
        <f t="shared" si="41"/>
        <v>0</v>
      </c>
      <c r="O71" s="506">
        <f t="shared" si="41"/>
        <v>0</v>
      </c>
      <c r="P71" s="506">
        <f t="shared" si="41"/>
        <v>0</v>
      </c>
      <c r="Q71" s="506">
        <f t="shared" si="41"/>
        <v>0</v>
      </c>
      <c r="R71" s="506">
        <f t="shared" si="41"/>
        <v>0</v>
      </c>
      <c r="S71" s="421"/>
      <c r="T71" s="421"/>
      <c r="U71" s="421"/>
      <c r="V71" s="421"/>
      <c r="W71" s="421"/>
      <c r="X71" s="422"/>
      <c r="Y71" s="422"/>
      <c r="Z71" s="422"/>
      <c r="AA71" s="422"/>
      <c r="AB71" s="422"/>
      <c r="AC71" s="422"/>
      <c r="AD71" s="422"/>
      <c r="AE71" s="422"/>
      <c r="AF71" s="422"/>
      <c r="AG71" s="422"/>
    </row>
    <row r="72" spans="1:33" s="414" customFormat="1" ht="11.5">
      <c r="A72" s="424" t="s">
        <v>2143</v>
      </c>
      <c r="B72" s="424"/>
      <c r="C72" s="425"/>
      <c r="D72" s="426">
        <f t="shared" ref="D72:R72" si="42">IF(D54&lt;=0,0,((D67+D69)/D54))</f>
        <v>0</v>
      </c>
      <c r="E72" s="426">
        <f t="shared" si="42"/>
        <v>0</v>
      </c>
      <c r="F72" s="426">
        <f t="shared" si="42"/>
        <v>0</v>
      </c>
      <c r="G72" s="426">
        <f t="shared" si="42"/>
        <v>0</v>
      </c>
      <c r="H72" s="426">
        <f t="shared" si="42"/>
        <v>0</v>
      </c>
      <c r="I72" s="426">
        <f t="shared" si="42"/>
        <v>0</v>
      </c>
      <c r="J72" s="426">
        <f t="shared" si="42"/>
        <v>0</v>
      </c>
      <c r="K72" s="426">
        <f t="shared" si="42"/>
        <v>0</v>
      </c>
      <c r="L72" s="426">
        <f t="shared" si="42"/>
        <v>0</v>
      </c>
      <c r="M72" s="426">
        <f t="shared" si="42"/>
        <v>0</v>
      </c>
      <c r="N72" s="426">
        <f t="shared" si="42"/>
        <v>0</v>
      </c>
      <c r="O72" s="426">
        <f t="shared" si="42"/>
        <v>0</v>
      </c>
      <c r="P72" s="426">
        <f t="shared" si="42"/>
        <v>0</v>
      </c>
      <c r="Q72" s="426">
        <f t="shared" si="42"/>
        <v>0</v>
      </c>
      <c r="R72" s="426">
        <f t="shared" si="42"/>
        <v>0</v>
      </c>
      <c r="S72" s="426"/>
      <c r="T72" s="426"/>
      <c r="U72" s="426"/>
      <c r="V72" s="426"/>
      <c r="W72" s="426"/>
      <c r="X72" s="426"/>
      <c r="Y72" s="426"/>
      <c r="Z72" s="426"/>
      <c r="AA72" s="426"/>
      <c r="AB72" s="426"/>
      <c r="AC72" s="426"/>
      <c r="AD72" s="426"/>
      <c r="AE72" s="426"/>
      <c r="AF72" s="426"/>
      <c r="AG72" s="426"/>
    </row>
    <row r="73" spans="1:33" ht="15" customHeight="1">
      <c r="A73" s="1749" t="s">
        <v>2144</v>
      </c>
      <c r="B73" s="1750"/>
      <c r="C73" s="1750"/>
      <c r="D73" s="451">
        <f>D66-D69</f>
        <v>0</v>
      </c>
      <c r="E73" s="451">
        <f>D73-E69</f>
        <v>0</v>
      </c>
      <c r="F73" s="451">
        <f>E73-F69</f>
        <v>0</v>
      </c>
      <c r="G73" s="451">
        <f>F73-G69</f>
        <v>0</v>
      </c>
      <c r="H73" s="451">
        <f>G73-H69</f>
        <v>0</v>
      </c>
    </row>
  </sheetData>
  <sheetProtection algorithmName="SHA-512" hashValue="UmMR2OtVA6FPI1XpXM/Bgt62dnMYsKXtYf9bddpEryS4NzefK34engGeU5t4yDP2fQA76QsAvWvDS3X+iJ1jOw==" saltValue="yyQB5Sn3NFyagpIcJYKlCg==" spinCount="100000" sheet="1" objects="1" scenarios="1"/>
  <mergeCells count="18">
    <mergeCell ref="A16:B16"/>
    <mergeCell ref="A10:B10"/>
    <mergeCell ref="A6:B6"/>
    <mergeCell ref="A1:R1"/>
    <mergeCell ref="A2:Q2"/>
    <mergeCell ref="A3:H3"/>
    <mergeCell ref="I3:J3"/>
    <mergeCell ref="A5:B5"/>
    <mergeCell ref="A7:B7"/>
    <mergeCell ref="A8:B8"/>
    <mergeCell ref="A9:B9"/>
    <mergeCell ref="A11:B11"/>
    <mergeCell ref="A15:B15"/>
    <mergeCell ref="A70:C70"/>
    <mergeCell ref="A71:C71"/>
    <mergeCell ref="A73:C73"/>
    <mergeCell ref="A17:B17"/>
    <mergeCell ref="A34:B34"/>
  </mergeCells>
  <dataValidations disablePrompts="1" count="1">
    <dataValidation type="list" allowBlank="1" showInputMessage="1" showErrorMessage="1" sqref="I3:J3" xr:uid="{FB1BA46C-24FE-48EE-BA60-7E5FA2729987}">
      <formula1>"Restricted Rents,Proposed Rents"</formula1>
    </dataValidation>
  </dataValidations>
  <printOptions horizontalCentered="1"/>
  <pageMargins left="0.25" right="0.25" top="0.5" bottom="0.3" header="0" footer="0"/>
  <pageSetup scale="65" firstPageNumber="26" orientation="landscape" r:id="rId1"/>
  <headerFooter scaleWithDoc="0" alignWithMargins="0">
    <oddFooter>&amp;L&amp;9Homekey Round 2&amp;C&amp;9Page &amp;P of &amp;N&amp;R&amp;"Arial,Italic"&amp;9&amp;A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 id="{F407367F-32DA-44D6-B317-8452309472E3}">
            <xm:f>OR($D$73&gt;'Award, Match, and Revenue'!$N$48,$D$73&gt;'Award, Match, and Revenue'!$O$48)</xm:f>
            <x14:dxf>
              <fill>
                <gradientFill degree="90">
                  <stop position="0">
                    <color theme="0"/>
                  </stop>
                  <stop position="1">
                    <color rgb="FFFF8585"/>
                  </stop>
                </gradientFill>
              </fill>
            </x14:dxf>
          </x14:cfRule>
          <xm:sqref>D73:H73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A0BC-3485-477C-895A-880AF9D17D19}">
  <sheetPr codeName="Sheet12">
    <tabColor rgb="FF92D050"/>
    <pageSetUpPr fitToPage="1"/>
  </sheetPr>
  <dimension ref="A1:AU94"/>
  <sheetViews>
    <sheetView showGridLines="0" workbookViewId="0">
      <selection activeCell="Y28" sqref="Y28:Z29"/>
    </sheetView>
  </sheetViews>
  <sheetFormatPr defaultColWidth="10" defaultRowHeight="15" customHeight="1"/>
  <cols>
    <col min="1" max="2" width="4.1796875" style="20" customWidth="1"/>
    <col min="3" max="3" width="5.26953125" style="20" customWidth="1"/>
    <col min="4" max="4" width="4.1796875" style="20" customWidth="1"/>
    <col min="5" max="5" width="4" style="20" customWidth="1"/>
    <col min="6" max="37" width="4.1796875" style="20" customWidth="1"/>
    <col min="38" max="38" width="5.26953125" style="20" customWidth="1"/>
    <col min="39" max="39" width="10" style="20" hidden="1" customWidth="1"/>
    <col min="40" max="40" width="72.1796875" style="20" hidden="1" customWidth="1"/>
    <col min="41" max="41" width="10" style="20" hidden="1" customWidth="1"/>
    <col min="42" max="48" width="0" style="20" hidden="1" customWidth="1"/>
    <col min="49" max="16384" width="10" style="20"/>
  </cols>
  <sheetData>
    <row r="1" spans="1:41" s="28" customFormat="1" ht="18" customHeight="1">
      <c r="A1" s="1856" t="s">
        <v>2145</v>
      </c>
      <c r="B1" s="1857"/>
      <c r="C1" s="1857"/>
      <c r="D1" s="1857"/>
      <c r="E1" s="1857"/>
      <c r="F1" s="1857"/>
      <c r="G1" s="1857"/>
      <c r="H1" s="1857"/>
      <c r="I1" s="1857"/>
      <c r="J1" s="1857"/>
      <c r="K1" s="1857"/>
      <c r="L1" s="1857"/>
      <c r="M1" s="1857"/>
      <c r="N1" s="1857"/>
      <c r="O1" s="1857"/>
      <c r="P1" s="1857"/>
      <c r="Q1" s="1857"/>
      <c r="R1" s="1857"/>
      <c r="S1" s="1857"/>
      <c r="T1" s="1857"/>
      <c r="U1" s="1857"/>
      <c r="V1" s="1857"/>
      <c r="W1" s="1857"/>
      <c r="X1" s="1857"/>
      <c r="Y1" s="1857"/>
      <c r="Z1" s="1857"/>
      <c r="AA1" s="1857"/>
      <c r="AB1" s="1857"/>
      <c r="AC1" s="1857"/>
      <c r="AD1" s="1857"/>
      <c r="AE1" s="1857"/>
      <c r="AF1" s="1857"/>
      <c r="AG1" s="1857"/>
      <c r="AH1" s="1857"/>
      <c r="AI1" s="1858"/>
      <c r="AJ1" s="1859">
        <f>CoverPage!B11</f>
        <v>44471</v>
      </c>
      <c r="AK1" s="1859"/>
      <c r="AL1" s="1860"/>
    </row>
    <row r="2" spans="1:41" ht="30" customHeight="1" thickBot="1">
      <c r="A2" s="1811" t="s">
        <v>2146</v>
      </c>
      <c r="B2" s="1812"/>
      <c r="C2" s="1812"/>
      <c r="D2" s="1812"/>
      <c r="E2" s="1812"/>
      <c r="F2" s="1812"/>
      <c r="G2" s="1812"/>
      <c r="H2" s="1812"/>
      <c r="I2" s="1812"/>
      <c r="J2" s="1812"/>
      <c r="K2" s="1812"/>
      <c r="L2" s="1812"/>
      <c r="M2" s="1812"/>
      <c r="N2" s="1812"/>
      <c r="O2" s="1812"/>
      <c r="P2" s="1812"/>
      <c r="Q2" s="1812"/>
      <c r="R2" s="1812"/>
      <c r="S2" s="1812"/>
      <c r="T2" s="1812"/>
      <c r="U2" s="1812"/>
      <c r="V2" s="1812"/>
      <c r="W2" s="1812"/>
      <c r="X2" s="1812"/>
      <c r="Y2" s="1812"/>
      <c r="Z2" s="1808" t="s">
        <v>2147</v>
      </c>
      <c r="AA2" s="1809"/>
      <c r="AB2" s="1809"/>
      <c r="AC2" s="1809"/>
      <c r="AD2" s="1809"/>
      <c r="AE2" s="1809"/>
      <c r="AF2" s="1809"/>
      <c r="AG2" s="1809"/>
      <c r="AH2" s="1809"/>
      <c r="AI2" s="1809"/>
      <c r="AJ2" s="1810"/>
      <c r="AK2" s="1861">
        <f>MIN(270,AK3+AK37+AK67+AK72+AK93)</f>
        <v>0</v>
      </c>
      <c r="AL2" s="1862"/>
    </row>
    <row r="3" spans="1:41" ht="15" customHeight="1">
      <c r="A3" s="1843" t="s">
        <v>2148</v>
      </c>
      <c r="B3" s="1844"/>
      <c r="C3" s="1844"/>
      <c r="D3" s="1844"/>
      <c r="E3" s="1844"/>
      <c r="F3" s="1844"/>
      <c r="G3" s="1844"/>
      <c r="H3" s="1844"/>
      <c r="I3" s="1844"/>
      <c r="J3" s="1844"/>
      <c r="K3" s="1844"/>
      <c r="L3" s="1844"/>
      <c r="M3" s="1844"/>
      <c r="N3" s="1844"/>
      <c r="O3" s="1844"/>
      <c r="P3" s="1844"/>
      <c r="Q3" s="1844"/>
      <c r="R3" s="1844"/>
      <c r="S3" s="1844"/>
      <c r="T3" s="1844"/>
      <c r="U3" s="1844"/>
      <c r="V3" s="1844"/>
      <c r="W3" s="1844"/>
      <c r="X3" s="1844"/>
      <c r="Y3" s="1844"/>
      <c r="Z3" s="1844"/>
      <c r="AA3" s="1844"/>
      <c r="AB3" s="1844"/>
      <c r="AC3" s="1844"/>
      <c r="AD3" s="1844"/>
      <c r="AE3" s="1844"/>
      <c r="AF3" s="1844"/>
      <c r="AG3" s="1844"/>
      <c r="AH3" s="1844"/>
      <c r="AI3" s="1844"/>
      <c r="AJ3" s="1844"/>
      <c r="AK3" s="1839">
        <f>SUM(AK4,AK28)</f>
        <v>0</v>
      </c>
      <c r="AL3" s="1840"/>
    </row>
    <row r="4" spans="1:41" ht="30" customHeight="1">
      <c r="A4" s="1865" t="s">
        <v>2149</v>
      </c>
      <c r="B4" s="1866"/>
      <c r="C4" s="1866"/>
      <c r="D4" s="1866"/>
      <c r="E4" s="1866"/>
      <c r="F4" s="1866"/>
      <c r="G4" s="1866"/>
      <c r="H4" s="1866"/>
      <c r="I4" s="1866"/>
      <c r="J4" s="1866"/>
      <c r="K4" s="1866"/>
      <c r="L4" s="1866"/>
      <c r="M4" s="1866"/>
      <c r="N4" s="1866"/>
      <c r="O4" s="1866"/>
      <c r="P4" s="1866"/>
      <c r="Q4" s="1866"/>
      <c r="R4" s="1866"/>
      <c r="S4" s="1866"/>
      <c r="T4" s="1866"/>
      <c r="U4" s="1866"/>
      <c r="V4" s="1866"/>
      <c r="W4" s="1866"/>
      <c r="X4" s="1866"/>
      <c r="Y4" s="1866"/>
      <c r="Z4" s="1866"/>
      <c r="AA4" s="1866"/>
      <c r="AB4" s="1866"/>
      <c r="AC4" s="1866"/>
      <c r="AD4" s="1866"/>
      <c r="AE4" s="1866"/>
      <c r="AF4" s="1866"/>
      <c r="AG4" s="1866"/>
      <c r="AH4" s="1866"/>
      <c r="AI4" s="1866"/>
      <c r="AJ4" s="1866"/>
      <c r="AK4" s="1863">
        <f>IFERROR(SUM(AK6:AL27)/COUNT(AK6:AL27),0)</f>
        <v>0</v>
      </c>
      <c r="AL4" s="1864"/>
    </row>
    <row r="5" spans="1:41" s="16" customFormat="1" ht="15" customHeight="1">
      <c r="A5" s="1867" t="s">
        <v>204</v>
      </c>
      <c r="B5" s="1868"/>
      <c r="C5" s="1868"/>
      <c r="D5" s="1868"/>
      <c r="E5" s="1868"/>
      <c r="F5" s="1868"/>
      <c r="G5" s="1868"/>
      <c r="H5" s="1868"/>
      <c r="I5" s="1868"/>
      <c r="J5" s="1868"/>
      <c r="K5" s="1868"/>
      <c r="L5" s="1868"/>
      <c r="M5" s="1868"/>
      <c r="N5" s="1868"/>
      <c r="O5" s="1868"/>
      <c r="P5" s="1868"/>
      <c r="Q5" s="1868"/>
      <c r="R5" s="1868"/>
      <c r="S5" s="1868"/>
      <c r="T5" s="1868"/>
      <c r="U5" s="1868"/>
      <c r="V5" s="1868"/>
      <c r="W5" s="1868"/>
      <c r="X5" s="1868"/>
      <c r="Y5" s="1868"/>
      <c r="Z5" s="1868"/>
      <c r="AA5" s="1868"/>
      <c r="AB5" s="1868"/>
      <c r="AC5" s="1868"/>
      <c r="AD5" s="1868"/>
      <c r="AE5" s="1868"/>
      <c r="AF5" s="1868"/>
      <c r="AG5" s="1868"/>
      <c r="AH5" s="1868"/>
      <c r="AI5" s="1868"/>
      <c r="AJ5" s="1868"/>
      <c r="AK5" s="1868"/>
      <c r="AL5" s="1869"/>
      <c r="AM5"/>
      <c r="AN5" s="18" t="s">
        <v>2150</v>
      </c>
      <c r="AO5" s="18">
        <v>20</v>
      </c>
    </row>
    <row r="6" spans="1:41" s="16" customFormat="1" ht="15" customHeight="1">
      <c r="A6" s="1870" t="str">
        <f>IF(Threshold!Q19="","",Threshold!Q19)</f>
        <v/>
      </c>
      <c r="B6" s="1871"/>
      <c r="C6" s="1871"/>
      <c r="D6" s="1871"/>
      <c r="E6" s="1871"/>
      <c r="F6" s="1871"/>
      <c r="G6" s="1871"/>
      <c r="H6" s="1871"/>
      <c r="I6" s="1871"/>
      <c r="J6" s="1871"/>
      <c r="K6" s="1871"/>
      <c r="L6" s="1871"/>
      <c r="M6" s="1871"/>
      <c r="N6" s="1871"/>
      <c r="O6" s="1871"/>
      <c r="P6" s="1871"/>
      <c r="Q6" s="1871"/>
      <c r="R6" s="1871"/>
      <c r="S6" s="1871"/>
      <c r="T6" s="1871"/>
      <c r="U6" s="1871"/>
      <c r="V6" s="1871"/>
      <c r="W6" s="1871"/>
      <c r="X6" s="1871"/>
      <c r="Y6" s="1871"/>
      <c r="Z6" s="1871"/>
      <c r="AA6" s="1871"/>
      <c r="AB6" s="1871"/>
      <c r="AC6" s="1871"/>
      <c r="AD6" s="1871"/>
      <c r="AE6" s="1871"/>
      <c r="AF6" s="1871"/>
      <c r="AG6" s="1871"/>
      <c r="AH6" s="1871"/>
      <c r="AI6" s="1871"/>
      <c r="AJ6" s="1872"/>
      <c r="AK6" s="1873" t="str">
        <f>IF(A6="","",VLOOKUP(A6,$AN$5:$AO$12,2,FALSE))</f>
        <v/>
      </c>
      <c r="AL6" s="1874"/>
      <c r="AM6"/>
      <c r="AN6" s="18" t="s">
        <v>2151</v>
      </c>
      <c r="AO6" s="18">
        <v>20</v>
      </c>
    </row>
    <row r="7" spans="1:41" s="16" customFormat="1" ht="15" customHeight="1">
      <c r="A7" s="1870" t="str">
        <f>IF(Threshold!Q20="","",Threshold!Q20)</f>
        <v/>
      </c>
      <c r="B7" s="1871"/>
      <c r="C7" s="1871"/>
      <c r="D7" s="1871"/>
      <c r="E7" s="1871"/>
      <c r="F7" s="1871"/>
      <c r="G7" s="1871"/>
      <c r="H7" s="1871"/>
      <c r="I7" s="1871"/>
      <c r="J7" s="1871"/>
      <c r="K7" s="1871"/>
      <c r="L7" s="1871"/>
      <c r="M7" s="1871"/>
      <c r="N7" s="1871"/>
      <c r="O7" s="1871"/>
      <c r="P7" s="1871"/>
      <c r="Q7" s="1871"/>
      <c r="R7" s="1871"/>
      <c r="S7" s="1871"/>
      <c r="T7" s="1871"/>
      <c r="U7" s="1871"/>
      <c r="V7" s="1871"/>
      <c r="W7" s="1871"/>
      <c r="X7" s="1871"/>
      <c r="Y7" s="1871"/>
      <c r="Z7" s="1871"/>
      <c r="AA7" s="1871"/>
      <c r="AB7" s="1871"/>
      <c r="AC7" s="1871"/>
      <c r="AD7" s="1871"/>
      <c r="AE7" s="1871"/>
      <c r="AF7" s="1871"/>
      <c r="AG7" s="1871"/>
      <c r="AH7" s="1871"/>
      <c r="AI7" s="1871"/>
      <c r="AJ7" s="1872"/>
      <c r="AK7" s="1873" t="str">
        <f t="shared" ref="AK7" si="0">IF(A7="","",VLOOKUP(A7,$AN$5:$AO$12,2,FALSE))</f>
        <v/>
      </c>
      <c r="AL7" s="1874"/>
      <c r="AM7"/>
      <c r="AN7" s="18" t="s">
        <v>2152</v>
      </c>
      <c r="AO7" s="18">
        <v>20</v>
      </c>
    </row>
    <row r="8" spans="1:41" s="16" customFormat="1" ht="15" customHeight="1">
      <c r="A8" s="1870" t="str">
        <f>IF(Threshold!Q21="","",Threshold!Q21)</f>
        <v/>
      </c>
      <c r="B8" s="1871"/>
      <c r="C8" s="1871"/>
      <c r="D8" s="1871"/>
      <c r="E8" s="1871"/>
      <c r="F8" s="1871"/>
      <c r="G8" s="1871"/>
      <c r="H8" s="1871"/>
      <c r="I8" s="1871"/>
      <c r="J8" s="1871"/>
      <c r="K8" s="1871"/>
      <c r="L8" s="1871"/>
      <c r="M8" s="1871"/>
      <c r="N8" s="1871"/>
      <c r="O8" s="1871"/>
      <c r="P8" s="1871"/>
      <c r="Q8" s="1871"/>
      <c r="R8" s="1871"/>
      <c r="S8" s="1871"/>
      <c r="T8" s="1871"/>
      <c r="U8" s="1871"/>
      <c r="V8" s="1871"/>
      <c r="W8" s="1871"/>
      <c r="X8" s="1871"/>
      <c r="Y8" s="1871"/>
      <c r="Z8" s="1871"/>
      <c r="AA8" s="1871"/>
      <c r="AB8" s="1871"/>
      <c r="AC8" s="1871"/>
      <c r="AD8" s="1871"/>
      <c r="AE8" s="1871"/>
      <c r="AF8" s="1871"/>
      <c r="AG8" s="1871"/>
      <c r="AH8" s="1871"/>
      <c r="AI8" s="1871"/>
      <c r="AJ8" s="1872"/>
      <c r="AK8" s="1873" t="str">
        <f t="shared" ref="AK8:AK26" si="1">IF(A8="","",VLOOKUP(A8,$AN$5:$AO$12,2,FALSE))</f>
        <v/>
      </c>
      <c r="AL8" s="1874"/>
      <c r="AM8"/>
      <c r="AN8" s="18" t="s">
        <v>2153</v>
      </c>
      <c r="AO8" s="18">
        <v>20</v>
      </c>
    </row>
    <row r="9" spans="1:41" s="16" customFormat="1" ht="15" customHeight="1">
      <c r="A9" s="1870" t="str">
        <f>IF(Threshold!Q22="","",Threshold!Q22)</f>
        <v/>
      </c>
      <c r="B9" s="1871"/>
      <c r="C9" s="1871"/>
      <c r="D9" s="1871"/>
      <c r="E9" s="1871"/>
      <c r="F9" s="1871"/>
      <c r="G9" s="1871"/>
      <c r="H9" s="1871"/>
      <c r="I9" s="1871"/>
      <c r="J9" s="1871"/>
      <c r="K9" s="1871"/>
      <c r="L9" s="1871"/>
      <c r="M9" s="1871"/>
      <c r="N9" s="1871"/>
      <c r="O9" s="1871"/>
      <c r="P9" s="1871"/>
      <c r="Q9" s="1871"/>
      <c r="R9" s="1871"/>
      <c r="S9" s="1871"/>
      <c r="T9" s="1871"/>
      <c r="U9" s="1871"/>
      <c r="V9" s="1871"/>
      <c r="W9" s="1871"/>
      <c r="X9" s="1871"/>
      <c r="Y9" s="1871"/>
      <c r="Z9" s="1871"/>
      <c r="AA9" s="1871"/>
      <c r="AB9" s="1871"/>
      <c r="AC9" s="1871"/>
      <c r="AD9" s="1871"/>
      <c r="AE9" s="1871"/>
      <c r="AF9" s="1871"/>
      <c r="AG9" s="1871"/>
      <c r="AH9" s="1871"/>
      <c r="AI9" s="1871"/>
      <c r="AJ9" s="1872"/>
      <c r="AK9" s="1873" t="str">
        <f t="shared" si="1"/>
        <v/>
      </c>
      <c r="AL9" s="1874"/>
      <c r="AM9"/>
      <c r="AN9" s="18" t="s">
        <v>2154</v>
      </c>
      <c r="AO9" s="18">
        <v>20</v>
      </c>
    </row>
    <row r="10" spans="1:41" s="16" customFormat="1" ht="15" customHeight="1">
      <c r="A10" s="1870" t="str">
        <f>IF(Threshold!Q23="","",Threshold!Q23)</f>
        <v/>
      </c>
      <c r="B10" s="1871"/>
      <c r="C10" s="1871"/>
      <c r="D10" s="1871"/>
      <c r="E10" s="1871"/>
      <c r="F10" s="1871"/>
      <c r="G10" s="1871"/>
      <c r="H10" s="1871"/>
      <c r="I10" s="1871"/>
      <c r="J10" s="1871"/>
      <c r="K10" s="1871"/>
      <c r="L10" s="1871"/>
      <c r="M10" s="1871"/>
      <c r="N10" s="1871"/>
      <c r="O10" s="1871"/>
      <c r="P10" s="1871"/>
      <c r="Q10" s="1871"/>
      <c r="R10" s="1871"/>
      <c r="S10" s="1871"/>
      <c r="T10" s="1871"/>
      <c r="U10" s="1871"/>
      <c r="V10" s="1871"/>
      <c r="W10" s="1871"/>
      <c r="X10" s="1871"/>
      <c r="Y10" s="1871"/>
      <c r="Z10" s="1871"/>
      <c r="AA10" s="1871"/>
      <c r="AB10" s="1871"/>
      <c r="AC10" s="1871"/>
      <c r="AD10" s="1871"/>
      <c r="AE10" s="1871"/>
      <c r="AF10" s="1871"/>
      <c r="AG10" s="1871"/>
      <c r="AH10" s="1871"/>
      <c r="AI10" s="1871"/>
      <c r="AJ10" s="1872"/>
      <c r="AK10" s="1873" t="str">
        <f t="shared" si="1"/>
        <v/>
      </c>
      <c r="AL10" s="1874"/>
      <c r="AM10"/>
      <c r="AN10" s="18" t="s">
        <v>2155</v>
      </c>
      <c r="AO10" s="18">
        <v>15</v>
      </c>
    </row>
    <row r="11" spans="1:41" s="16" customFormat="1" ht="15" customHeight="1">
      <c r="A11" s="1870" t="str">
        <f>IF(Threshold!Q24="","",Threshold!Q24)</f>
        <v/>
      </c>
      <c r="B11" s="1871"/>
      <c r="C11" s="1871"/>
      <c r="D11" s="1871"/>
      <c r="E11" s="1871"/>
      <c r="F11" s="1871"/>
      <c r="G11" s="1871"/>
      <c r="H11" s="1871"/>
      <c r="I11" s="1871"/>
      <c r="J11" s="1871"/>
      <c r="K11" s="1871"/>
      <c r="L11" s="1871"/>
      <c r="M11" s="1871"/>
      <c r="N11" s="1871"/>
      <c r="O11" s="1871"/>
      <c r="P11" s="1871"/>
      <c r="Q11" s="1871"/>
      <c r="R11" s="1871"/>
      <c r="S11" s="1871"/>
      <c r="T11" s="1871"/>
      <c r="U11" s="1871"/>
      <c r="V11" s="1871"/>
      <c r="W11" s="1871"/>
      <c r="X11" s="1871"/>
      <c r="Y11" s="1871"/>
      <c r="Z11" s="1871"/>
      <c r="AA11" s="1871"/>
      <c r="AB11" s="1871"/>
      <c r="AC11" s="1871"/>
      <c r="AD11" s="1871"/>
      <c r="AE11" s="1871"/>
      <c r="AF11" s="1871"/>
      <c r="AG11" s="1871"/>
      <c r="AH11" s="1871"/>
      <c r="AI11" s="1871"/>
      <c r="AJ11" s="1872"/>
      <c r="AK11" s="1873" t="str">
        <f t="shared" si="1"/>
        <v/>
      </c>
      <c r="AL11" s="1874"/>
      <c r="AM11"/>
      <c r="AN11" s="18" t="s">
        <v>2156</v>
      </c>
      <c r="AO11" s="18">
        <v>15</v>
      </c>
    </row>
    <row r="12" spans="1:41" s="16" customFormat="1" ht="15" customHeight="1">
      <c r="A12" s="1870" t="str">
        <f>IF(Threshold!Q25="","",Threshold!Q25)</f>
        <v/>
      </c>
      <c r="B12" s="1871"/>
      <c r="C12" s="1871"/>
      <c r="D12" s="1871"/>
      <c r="E12" s="1871"/>
      <c r="F12" s="1871"/>
      <c r="G12" s="1871"/>
      <c r="H12" s="1871"/>
      <c r="I12" s="1871"/>
      <c r="J12" s="1871"/>
      <c r="K12" s="1871"/>
      <c r="L12" s="1871"/>
      <c r="M12" s="1871"/>
      <c r="N12" s="1871"/>
      <c r="O12" s="1871"/>
      <c r="P12" s="1871"/>
      <c r="Q12" s="1871"/>
      <c r="R12" s="1871"/>
      <c r="S12" s="1871"/>
      <c r="T12" s="1871"/>
      <c r="U12" s="1871"/>
      <c r="V12" s="1871"/>
      <c r="W12" s="1871"/>
      <c r="X12" s="1871"/>
      <c r="Y12" s="1871"/>
      <c r="Z12" s="1871"/>
      <c r="AA12" s="1871"/>
      <c r="AB12" s="1871"/>
      <c r="AC12" s="1871"/>
      <c r="AD12" s="1871"/>
      <c r="AE12" s="1871"/>
      <c r="AF12" s="1871"/>
      <c r="AG12" s="1871"/>
      <c r="AH12" s="1871"/>
      <c r="AI12" s="1871"/>
      <c r="AJ12" s="1872"/>
      <c r="AK12" s="1873" t="str">
        <f t="shared" si="1"/>
        <v/>
      </c>
      <c r="AL12" s="1874"/>
      <c r="AM12"/>
      <c r="AN12" s="18" t="s">
        <v>1798</v>
      </c>
      <c r="AO12" s="18">
        <v>0</v>
      </c>
    </row>
    <row r="13" spans="1:41" s="16" customFormat="1" ht="15" customHeight="1">
      <c r="A13" s="1870" t="str">
        <f>IF(Threshold!Q26="","",Threshold!Q26)</f>
        <v/>
      </c>
      <c r="B13" s="1871"/>
      <c r="C13" s="1871"/>
      <c r="D13" s="1871"/>
      <c r="E13" s="1871"/>
      <c r="F13" s="1871"/>
      <c r="G13" s="1871"/>
      <c r="H13" s="1871"/>
      <c r="I13" s="1871"/>
      <c r="J13" s="1871"/>
      <c r="K13" s="1871"/>
      <c r="L13" s="1871"/>
      <c r="M13" s="1871"/>
      <c r="N13" s="1871"/>
      <c r="O13" s="1871"/>
      <c r="P13" s="1871"/>
      <c r="Q13" s="1871"/>
      <c r="R13" s="1871"/>
      <c r="S13" s="1871"/>
      <c r="T13" s="1871"/>
      <c r="U13" s="1871"/>
      <c r="V13" s="1871"/>
      <c r="W13" s="1871"/>
      <c r="X13" s="1871"/>
      <c r="Y13" s="1871"/>
      <c r="Z13" s="1871"/>
      <c r="AA13" s="1871"/>
      <c r="AB13" s="1871"/>
      <c r="AC13" s="1871"/>
      <c r="AD13" s="1871"/>
      <c r="AE13" s="1871"/>
      <c r="AF13" s="1871"/>
      <c r="AG13" s="1871"/>
      <c r="AH13" s="1871"/>
      <c r="AI13" s="1871"/>
      <c r="AJ13" s="1872"/>
      <c r="AK13" s="1873" t="str">
        <f t="shared" si="1"/>
        <v/>
      </c>
      <c r="AL13" s="1874"/>
      <c r="AM13"/>
      <c r="AN13" s="18"/>
      <c r="AO13" s="18"/>
    </row>
    <row r="14" spans="1:41" s="16" customFormat="1" ht="15" customHeight="1">
      <c r="A14" s="1870" t="str">
        <f>IF(Threshold!Q27="","",Threshold!Q27)</f>
        <v/>
      </c>
      <c r="B14" s="1871"/>
      <c r="C14" s="1871"/>
      <c r="D14" s="1871"/>
      <c r="E14" s="1871"/>
      <c r="F14" s="1871"/>
      <c r="G14" s="1871"/>
      <c r="H14" s="1871"/>
      <c r="I14" s="1871"/>
      <c r="J14" s="1871"/>
      <c r="K14" s="1871"/>
      <c r="L14" s="1871"/>
      <c r="M14" s="1871"/>
      <c r="N14" s="1871"/>
      <c r="O14" s="1871"/>
      <c r="P14" s="1871"/>
      <c r="Q14" s="1871"/>
      <c r="R14" s="1871"/>
      <c r="S14" s="1871"/>
      <c r="T14" s="1871"/>
      <c r="U14" s="1871"/>
      <c r="V14" s="1871"/>
      <c r="W14" s="1871"/>
      <c r="X14" s="1871"/>
      <c r="Y14" s="1871"/>
      <c r="Z14" s="1871"/>
      <c r="AA14" s="1871"/>
      <c r="AB14" s="1871"/>
      <c r="AC14" s="1871"/>
      <c r="AD14" s="1871"/>
      <c r="AE14" s="1871"/>
      <c r="AF14" s="1871"/>
      <c r="AG14" s="1871"/>
      <c r="AH14" s="1871"/>
      <c r="AI14" s="1871"/>
      <c r="AJ14" s="1872"/>
      <c r="AK14" s="1873" t="str">
        <f t="shared" si="1"/>
        <v/>
      </c>
      <c r="AL14" s="1874"/>
      <c r="AM14"/>
      <c r="AN14" s="18"/>
      <c r="AO14" s="18"/>
    </row>
    <row r="15" spans="1:41" s="16" customFormat="1" ht="15" customHeight="1">
      <c r="A15" s="1870" t="str">
        <f>IF(Threshold!Q28="","",Threshold!Q28)</f>
        <v/>
      </c>
      <c r="B15" s="1871"/>
      <c r="C15" s="1871"/>
      <c r="D15" s="1871"/>
      <c r="E15" s="1871"/>
      <c r="F15" s="1871"/>
      <c r="G15" s="1871"/>
      <c r="H15" s="1871"/>
      <c r="I15" s="1871"/>
      <c r="J15" s="1871"/>
      <c r="K15" s="1871"/>
      <c r="L15" s="1871"/>
      <c r="M15" s="1871"/>
      <c r="N15" s="1871"/>
      <c r="O15" s="1871"/>
      <c r="P15" s="1871"/>
      <c r="Q15" s="1871"/>
      <c r="R15" s="1871"/>
      <c r="S15" s="1871"/>
      <c r="T15" s="1871"/>
      <c r="U15" s="1871"/>
      <c r="V15" s="1871"/>
      <c r="W15" s="1871"/>
      <c r="X15" s="1871"/>
      <c r="Y15" s="1871"/>
      <c r="Z15" s="1871"/>
      <c r="AA15" s="1871"/>
      <c r="AB15" s="1871"/>
      <c r="AC15" s="1871"/>
      <c r="AD15" s="1871"/>
      <c r="AE15" s="1871"/>
      <c r="AF15" s="1871"/>
      <c r="AG15" s="1871"/>
      <c r="AH15" s="1871"/>
      <c r="AI15" s="1871"/>
      <c r="AJ15" s="1872"/>
      <c r="AK15" s="1873" t="str">
        <f t="shared" si="1"/>
        <v/>
      </c>
      <c r="AL15" s="1874"/>
      <c r="AM15"/>
      <c r="AN15" s="18"/>
      <c r="AO15" s="18"/>
    </row>
    <row r="16" spans="1:41" s="16" customFormat="1" ht="15" customHeight="1">
      <c r="A16" s="1870" t="str">
        <f>IF(Threshold!Q29="","",Threshold!Q29)</f>
        <v/>
      </c>
      <c r="B16" s="1871"/>
      <c r="C16" s="1871"/>
      <c r="D16" s="1871"/>
      <c r="E16" s="1871"/>
      <c r="F16" s="1871"/>
      <c r="G16" s="1871"/>
      <c r="H16" s="1871"/>
      <c r="I16" s="1871"/>
      <c r="J16" s="1871"/>
      <c r="K16" s="1871"/>
      <c r="L16" s="1871"/>
      <c r="M16" s="1871"/>
      <c r="N16" s="1871"/>
      <c r="O16" s="1871"/>
      <c r="P16" s="1871"/>
      <c r="Q16" s="1871"/>
      <c r="R16" s="1871"/>
      <c r="S16" s="1871"/>
      <c r="T16" s="1871"/>
      <c r="U16" s="1871"/>
      <c r="V16" s="1871"/>
      <c r="W16" s="1871"/>
      <c r="X16" s="1871"/>
      <c r="Y16" s="1871"/>
      <c r="Z16" s="1871"/>
      <c r="AA16" s="1871"/>
      <c r="AB16" s="1871"/>
      <c r="AC16" s="1871"/>
      <c r="AD16" s="1871"/>
      <c r="AE16" s="1871"/>
      <c r="AF16" s="1871"/>
      <c r="AG16" s="1871"/>
      <c r="AH16" s="1871"/>
      <c r="AI16" s="1871"/>
      <c r="AJ16" s="1872"/>
      <c r="AK16" s="1873" t="str">
        <f t="shared" si="1"/>
        <v/>
      </c>
      <c r="AL16" s="1874"/>
      <c r="AM16"/>
      <c r="AN16" s="18"/>
      <c r="AO16" s="18"/>
    </row>
    <row r="17" spans="1:41" s="16" customFormat="1" ht="15" customHeight="1">
      <c r="A17" s="1870" t="str">
        <f>IF(Threshold!Q30="","",Threshold!Q30)</f>
        <v/>
      </c>
      <c r="B17" s="1871"/>
      <c r="C17" s="1871"/>
      <c r="D17" s="1871"/>
      <c r="E17" s="1871"/>
      <c r="F17" s="1871"/>
      <c r="G17" s="1871"/>
      <c r="H17" s="1871"/>
      <c r="I17" s="1871"/>
      <c r="J17" s="1871"/>
      <c r="K17" s="1871"/>
      <c r="L17" s="1871"/>
      <c r="M17" s="1871"/>
      <c r="N17" s="1871"/>
      <c r="O17" s="1871"/>
      <c r="P17" s="1871"/>
      <c r="Q17" s="1871"/>
      <c r="R17" s="1871"/>
      <c r="S17" s="1871"/>
      <c r="T17" s="1871"/>
      <c r="U17" s="1871"/>
      <c r="V17" s="1871"/>
      <c r="W17" s="1871"/>
      <c r="X17" s="1871"/>
      <c r="Y17" s="1871"/>
      <c r="Z17" s="1871"/>
      <c r="AA17" s="1871"/>
      <c r="AB17" s="1871"/>
      <c r="AC17" s="1871"/>
      <c r="AD17" s="1871"/>
      <c r="AE17" s="1871"/>
      <c r="AF17" s="1871"/>
      <c r="AG17" s="1871"/>
      <c r="AH17" s="1871"/>
      <c r="AI17" s="1871"/>
      <c r="AJ17" s="1872"/>
      <c r="AK17" s="1873" t="str">
        <f t="shared" si="1"/>
        <v/>
      </c>
      <c r="AL17" s="1874"/>
      <c r="AM17"/>
      <c r="AN17" s="18"/>
      <c r="AO17" s="18"/>
    </row>
    <row r="18" spans="1:41" s="16" customFormat="1" ht="15" customHeight="1">
      <c r="A18" s="1870" t="str">
        <f>IF(Threshold!Q31="","",Threshold!Q31)</f>
        <v/>
      </c>
      <c r="B18" s="1871"/>
      <c r="C18" s="1871"/>
      <c r="D18" s="1871"/>
      <c r="E18" s="1871"/>
      <c r="F18" s="1871"/>
      <c r="G18" s="1871"/>
      <c r="H18" s="1871"/>
      <c r="I18" s="1871"/>
      <c r="J18" s="1871"/>
      <c r="K18" s="1871"/>
      <c r="L18" s="1871"/>
      <c r="M18" s="1871"/>
      <c r="N18" s="1871"/>
      <c r="O18" s="1871"/>
      <c r="P18" s="1871"/>
      <c r="Q18" s="1871"/>
      <c r="R18" s="1871"/>
      <c r="S18" s="1871"/>
      <c r="T18" s="1871"/>
      <c r="U18" s="1871"/>
      <c r="V18" s="1871"/>
      <c r="W18" s="1871"/>
      <c r="X18" s="1871"/>
      <c r="Y18" s="1871"/>
      <c r="Z18" s="1871"/>
      <c r="AA18" s="1871"/>
      <c r="AB18" s="1871"/>
      <c r="AC18" s="1871"/>
      <c r="AD18" s="1871"/>
      <c r="AE18" s="1871"/>
      <c r="AF18" s="1871"/>
      <c r="AG18" s="1871"/>
      <c r="AH18" s="1871"/>
      <c r="AI18" s="1871"/>
      <c r="AJ18" s="1872"/>
      <c r="AK18" s="1873" t="str">
        <f t="shared" si="1"/>
        <v/>
      </c>
      <c r="AL18" s="1874"/>
      <c r="AM18"/>
      <c r="AN18" s="18"/>
      <c r="AO18" s="18"/>
    </row>
    <row r="19" spans="1:41" s="16" customFormat="1" ht="15" customHeight="1">
      <c r="A19" s="1870" t="str">
        <f>IF(Threshold!Q32="","",Threshold!Q32)</f>
        <v/>
      </c>
      <c r="B19" s="1871"/>
      <c r="C19" s="1871"/>
      <c r="D19" s="1871"/>
      <c r="E19" s="1871"/>
      <c r="F19" s="1871"/>
      <c r="G19" s="1871"/>
      <c r="H19" s="1871"/>
      <c r="I19" s="1871"/>
      <c r="J19" s="1871"/>
      <c r="K19" s="1871"/>
      <c r="L19" s="1871"/>
      <c r="M19" s="1871"/>
      <c r="N19" s="1871"/>
      <c r="O19" s="1871"/>
      <c r="P19" s="1871"/>
      <c r="Q19" s="1871"/>
      <c r="R19" s="1871"/>
      <c r="S19" s="1871"/>
      <c r="T19" s="1871"/>
      <c r="U19" s="1871"/>
      <c r="V19" s="1871"/>
      <c r="W19" s="1871"/>
      <c r="X19" s="1871"/>
      <c r="Y19" s="1871"/>
      <c r="Z19" s="1871"/>
      <c r="AA19" s="1871"/>
      <c r="AB19" s="1871"/>
      <c r="AC19" s="1871"/>
      <c r="AD19" s="1871"/>
      <c r="AE19" s="1871"/>
      <c r="AF19" s="1871"/>
      <c r="AG19" s="1871"/>
      <c r="AH19" s="1871"/>
      <c r="AI19" s="1871"/>
      <c r="AJ19" s="1872"/>
      <c r="AK19" s="1873" t="str">
        <f t="shared" si="1"/>
        <v/>
      </c>
      <c r="AL19" s="1874"/>
      <c r="AM19"/>
      <c r="AN19" s="18"/>
      <c r="AO19" s="18"/>
    </row>
    <row r="20" spans="1:41" s="16" customFormat="1" ht="15" customHeight="1">
      <c r="A20" s="1870" t="str">
        <f>IF(Threshold!Q33="","",Threshold!Q33)</f>
        <v/>
      </c>
      <c r="B20" s="1871"/>
      <c r="C20" s="1871"/>
      <c r="D20" s="1871"/>
      <c r="E20" s="1871"/>
      <c r="F20" s="1871"/>
      <c r="G20" s="1871"/>
      <c r="H20" s="1871"/>
      <c r="I20" s="1871"/>
      <c r="J20" s="1871"/>
      <c r="K20" s="1871"/>
      <c r="L20" s="1871"/>
      <c r="M20" s="1871"/>
      <c r="N20" s="1871"/>
      <c r="O20" s="1871"/>
      <c r="P20" s="1871"/>
      <c r="Q20" s="1871"/>
      <c r="R20" s="1871"/>
      <c r="S20" s="1871"/>
      <c r="T20" s="1871"/>
      <c r="U20" s="1871"/>
      <c r="V20" s="1871"/>
      <c r="W20" s="1871"/>
      <c r="X20" s="1871"/>
      <c r="Y20" s="1871"/>
      <c r="Z20" s="1871"/>
      <c r="AA20" s="1871"/>
      <c r="AB20" s="1871"/>
      <c r="AC20" s="1871"/>
      <c r="AD20" s="1871"/>
      <c r="AE20" s="1871"/>
      <c r="AF20" s="1871"/>
      <c r="AG20" s="1871"/>
      <c r="AH20" s="1871"/>
      <c r="AI20" s="1871"/>
      <c r="AJ20" s="1872"/>
      <c r="AK20" s="1873" t="str">
        <f t="shared" si="1"/>
        <v/>
      </c>
      <c r="AL20" s="1874"/>
      <c r="AM20"/>
      <c r="AN20" s="18"/>
      <c r="AO20" s="18"/>
    </row>
    <row r="21" spans="1:41" s="16" customFormat="1" ht="15" customHeight="1">
      <c r="A21" s="1870" t="str">
        <f>IF(Threshold!Q34="","",Threshold!Q34)</f>
        <v/>
      </c>
      <c r="B21" s="1871"/>
      <c r="C21" s="1871"/>
      <c r="D21" s="1871"/>
      <c r="E21" s="1871"/>
      <c r="F21" s="1871"/>
      <c r="G21" s="1871"/>
      <c r="H21" s="1871"/>
      <c r="I21" s="1871"/>
      <c r="J21" s="1871"/>
      <c r="K21" s="1871"/>
      <c r="L21" s="1871"/>
      <c r="M21" s="1871"/>
      <c r="N21" s="1871"/>
      <c r="O21" s="1871"/>
      <c r="P21" s="1871"/>
      <c r="Q21" s="1871"/>
      <c r="R21" s="1871"/>
      <c r="S21" s="1871"/>
      <c r="T21" s="1871"/>
      <c r="U21" s="1871"/>
      <c r="V21" s="1871"/>
      <c r="W21" s="1871"/>
      <c r="X21" s="1871"/>
      <c r="Y21" s="1871"/>
      <c r="Z21" s="1871"/>
      <c r="AA21" s="1871"/>
      <c r="AB21" s="1871"/>
      <c r="AC21" s="1871"/>
      <c r="AD21" s="1871"/>
      <c r="AE21" s="1871"/>
      <c r="AF21" s="1871"/>
      <c r="AG21" s="1871"/>
      <c r="AH21" s="1871"/>
      <c r="AI21" s="1871"/>
      <c r="AJ21" s="1872"/>
      <c r="AK21" s="1873" t="str">
        <f t="shared" si="1"/>
        <v/>
      </c>
      <c r="AL21" s="1874"/>
      <c r="AM21"/>
      <c r="AN21" s="18"/>
      <c r="AO21" s="18"/>
    </row>
    <row r="22" spans="1:41" s="16" customFormat="1" ht="15" customHeight="1">
      <c r="A22" s="1870" t="str">
        <f>IF(Threshold!Q35="","",Threshold!Q35)</f>
        <v/>
      </c>
      <c r="B22" s="1871"/>
      <c r="C22" s="1871"/>
      <c r="D22" s="1871"/>
      <c r="E22" s="1871"/>
      <c r="F22" s="1871"/>
      <c r="G22" s="1871"/>
      <c r="H22" s="1871"/>
      <c r="I22" s="1871"/>
      <c r="J22" s="1871"/>
      <c r="K22" s="1871"/>
      <c r="L22" s="1871"/>
      <c r="M22" s="1871"/>
      <c r="N22" s="1871"/>
      <c r="O22" s="1871"/>
      <c r="P22" s="1871"/>
      <c r="Q22" s="1871"/>
      <c r="R22" s="1871"/>
      <c r="S22" s="1871"/>
      <c r="T22" s="1871"/>
      <c r="U22" s="1871"/>
      <c r="V22" s="1871"/>
      <c r="W22" s="1871"/>
      <c r="X22" s="1871"/>
      <c r="Y22" s="1871"/>
      <c r="Z22" s="1871"/>
      <c r="AA22" s="1871"/>
      <c r="AB22" s="1871"/>
      <c r="AC22" s="1871"/>
      <c r="AD22" s="1871"/>
      <c r="AE22" s="1871"/>
      <c r="AF22" s="1871"/>
      <c r="AG22" s="1871"/>
      <c r="AH22" s="1871"/>
      <c r="AI22" s="1871"/>
      <c r="AJ22" s="1872"/>
      <c r="AK22" s="1873" t="str">
        <f t="shared" si="1"/>
        <v/>
      </c>
      <c r="AL22" s="1874"/>
      <c r="AM22"/>
      <c r="AN22" s="18"/>
      <c r="AO22" s="18"/>
    </row>
    <row r="23" spans="1:41" s="16" customFormat="1" ht="15" customHeight="1">
      <c r="A23" s="1870" t="str">
        <f>IF(Threshold!Q36="","",Threshold!Q36)</f>
        <v/>
      </c>
      <c r="B23" s="1871"/>
      <c r="C23" s="1871"/>
      <c r="D23" s="1871"/>
      <c r="E23" s="1871"/>
      <c r="F23" s="1871"/>
      <c r="G23" s="1871"/>
      <c r="H23" s="1871"/>
      <c r="I23" s="1871"/>
      <c r="J23" s="1871"/>
      <c r="K23" s="1871"/>
      <c r="L23" s="1871"/>
      <c r="M23" s="1871"/>
      <c r="N23" s="1871"/>
      <c r="O23" s="1871"/>
      <c r="P23" s="1871"/>
      <c r="Q23" s="1871"/>
      <c r="R23" s="1871"/>
      <c r="S23" s="1871"/>
      <c r="T23" s="1871"/>
      <c r="U23" s="1871"/>
      <c r="V23" s="1871"/>
      <c r="W23" s="1871"/>
      <c r="X23" s="1871"/>
      <c r="Y23" s="1871"/>
      <c r="Z23" s="1871"/>
      <c r="AA23" s="1871"/>
      <c r="AB23" s="1871"/>
      <c r="AC23" s="1871"/>
      <c r="AD23" s="1871"/>
      <c r="AE23" s="1871"/>
      <c r="AF23" s="1871"/>
      <c r="AG23" s="1871"/>
      <c r="AH23" s="1871"/>
      <c r="AI23" s="1871"/>
      <c r="AJ23" s="1872"/>
      <c r="AK23" s="1873" t="str">
        <f t="shared" si="1"/>
        <v/>
      </c>
      <c r="AL23" s="1874"/>
      <c r="AM23"/>
      <c r="AN23" s="18"/>
      <c r="AO23" s="18"/>
    </row>
    <row r="24" spans="1:41" s="16" customFormat="1" ht="15" customHeight="1">
      <c r="A24" s="1870" t="str">
        <f>IF(Threshold!Q37="","",Threshold!Q37)</f>
        <v/>
      </c>
      <c r="B24" s="1871"/>
      <c r="C24" s="1871"/>
      <c r="D24" s="1871"/>
      <c r="E24" s="1871"/>
      <c r="F24" s="1871"/>
      <c r="G24" s="1871"/>
      <c r="H24" s="1871"/>
      <c r="I24" s="1871"/>
      <c r="J24" s="1871"/>
      <c r="K24" s="1871"/>
      <c r="L24" s="1871"/>
      <c r="M24" s="1871"/>
      <c r="N24" s="1871"/>
      <c r="O24" s="1871"/>
      <c r="P24" s="1871"/>
      <c r="Q24" s="1871"/>
      <c r="R24" s="1871"/>
      <c r="S24" s="1871"/>
      <c r="T24" s="1871"/>
      <c r="U24" s="1871"/>
      <c r="V24" s="1871"/>
      <c r="W24" s="1871"/>
      <c r="X24" s="1871"/>
      <c r="Y24" s="1871"/>
      <c r="Z24" s="1871"/>
      <c r="AA24" s="1871"/>
      <c r="AB24" s="1871"/>
      <c r="AC24" s="1871"/>
      <c r="AD24" s="1871"/>
      <c r="AE24" s="1871"/>
      <c r="AF24" s="1871"/>
      <c r="AG24" s="1871"/>
      <c r="AH24" s="1871"/>
      <c r="AI24" s="1871"/>
      <c r="AJ24" s="1872"/>
      <c r="AK24" s="1873" t="str">
        <f t="shared" si="1"/>
        <v/>
      </c>
      <c r="AL24" s="1874"/>
      <c r="AM24"/>
      <c r="AN24" s="18"/>
      <c r="AO24" s="18"/>
    </row>
    <row r="25" spans="1:41" s="16" customFormat="1" ht="15" customHeight="1">
      <c r="A25" s="1870" t="str">
        <f>IF(Threshold!Q38="","",Threshold!Q38)</f>
        <v/>
      </c>
      <c r="B25" s="1871"/>
      <c r="C25" s="1871"/>
      <c r="D25" s="1871"/>
      <c r="E25" s="1871"/>
      <c r="F25" s="1871"/>
      <c r="G25" s="1871"/>
      <c r="H25" s="1871"/>
      <c r="I25" s="1871"/>
      <c r="J25" s="1871"/>
      <c r="K25" s="1871"/>
      <c r="L25" s="1871"/>
      <c r="M25" s="1871"/>
      <c r="N25" s="1871"/>
      <c r="O25" s="1871"/>
      <c r="P25" s="1871"/>
      <c r="Q25" s="1871"/>
      <c r="R25" s="1871"/>
      <c r="S25" s="1871"/>
      <c r="T25" s="1871"/>
      <c r="U25" s="1871"/>
      <c r="V25" s="1871"/>
      <c r="W25" s="1871"/>
      <c r="X25" s="1871"/>
      <c r="Y25" s="1871"/>
      <c r="Z25" s="1871"/>
      <c r="AA25" s="1871"/>
      <c r="AB25" s="1871"/>
      <c r="AC25" s="1871"/>
      <c r="AD25" s="1871"/>
      <c r="AE25" s="1871"/>
      <c r="AF25" s="1871"/>
      <c r="AG25" s="1871"/>
      <c r="AH25" s="1871"/>
      <c r="AI25" s="1871"/>
      <c r="AJ25" s="1872"/>
      <c r="AK25" s="1873" t="str">
        <f t="shared" si="1"/>
        <v/>
      </c>
      <c r="AL25" s="1874"/>
      <c r="AM25"/>
      <c r="AN25" s="18"/>
      <c r="AO25" s="18"/>
    </row>
    <row r="26" spans="1:41" s="16" customFormat="1" ht="15" customHeight="1">
      <c r="A26" s="1870" t="str">
        <f>IF(Threshold!Q39="","",Threshold!Q39)</f>
        <v/>
      </c>
      <c r="B26" s="1871"/>
      <c r="C26" s="1871"/>
      <c r="D26" s="1871"/>
      <c r="E26" s="1871"/>
      <c r="F26" s="1871"/>
      <c r="G26" s="1871"/>
      <c r="H26" s="1871"/>
      <c r="I26" s="1871"/>
      <c r="J26" s="1871"/>
      <c r="K26" s="1871"/>
      <c r="L26" s="1871"/>
      <c r="M26" s="1871"/>
      <c r="N26" s="1871"/>
      <c r="O26" s="1871"/>
      <c r="P26" s="1871"/>
      <c r="Q26" s="1871"/>
      <c r="R26" s="1871"/>
      <c r="S26" s="1871"/>
      <c r="T26" s="1871"/>
      <c r="U26" s="1871"/>
      <c r="V26" s="1871"/>
      <c r="W26" s="1871"/>
      <c r="X26" s="1871"/>
      <c r="Y26" s="1871"/>
      <c r="Z26" s="1871"/>
      <c r="AA26" s="1871"/>
      <c r="AB26" s="1871"/>
      <c r="AC26" s="1871"/>
      <c r="AD26" s="1871"/>
      <c r="AE26" s="1871"/>
      <c r="AF26" s="1871"/>
      <c r="AG26" s="1871"/>
      <c r="AH26" s="1871"/>
      <c r="AI26" s="1871"/>
      <c r="AJ26" s="1872"/>
      <c r="AK26" s="1873" t="str">
        <f t="shared" si="1"/>
        <v/>
      </c>
      <c r="AL26" s="1874"/>
      <c r="AM26"/>
      <c r="AN26" s="18"/>
      <c r="AO26" s="18"/>
    </row>
    <row r="27" spans="1:41" s="16" customFormat="1" ht="15" customHeight="1">
      <c r="A27" s="1870" t="str">
        <f>IF(Threshold!Q40="","",Threshold!Q40)</f>
        <v/>
      </c>
      <c r="B27" s="1871"/>
      <c r="C27" s="1871"/>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1871"/>
      <c r="AB27" s="1871"/>
      <c r="AC27" s="1871"/>
      <c r="AD27" s="1871"/>
      <c r="AE27" s="1871"/>
      <c r="AF27" s="1871"/>
      <c r="AG27" s="1871"/>
      <c r="AH27" s="1871"/>
      <c r="AI27" s="1871"/>
      <c r="AJ27" s="1872"/>
      <c r="AK27" s="1873" t="str">
        <f t="shared" ref="AK27" si="2">IF(A27="","",VLOOKUP(A27,$AN$5:$AO$12,2,FALSE))</f>
        <v/>
      </c>
      <c r="AL27" s="1874"/>
      <c r="AM27"/>
      <c r="AN27" s="18"/>
      <c r="AO27" s="18"/>
    </row>
    <row r="28" spans="1:41" ht="60" customHeight="1">
      <c r="A28" s="1786" t="s">
        <v>2157</v>
      </c>
      <c r="B28" s="1787"/>
      <c r="C28" s="1787"/>
      <c r="D28" s="1787"/>
      <c r="E28" s="1787"/>
      <c r="F28" s="1787"/>
      <c r="G28" s="1787"/>
      <c r="H28" s="1787"/>
      <c r="I28" s="1787"/>
      <c r="J28" s="1787"/>
      <c r="K28" s="1787"/>
      <c r="L28" s="1787"/>
      <c r="M28" s="1787"/>
      <c r="N28" s="1787"/>
      <c r="O28" s="1787"/>
      <c r="P28" s="1787"/>
      <c r="Q28" s="1787"/>
      <c r="R28" s="1781" t="s">
        <v>2158</v>
      </c>
      <c r="S28" s="1782"/>
      <c r="T28" s="1782"/>
      <c r="U28" s="1768">
        <f>MIN('Award, Match, and Revenue'!U25,SUMIF(Y29:Z32,"Yes",AK29:AL32))</f>
        <v>0</v>
      </c>
      <c r="V28" s="1770"/>
      <c r="W28" s="1781" t="s">
        <v>2159</v>
      </c>
      <c r="X28" s="1782"/>
      <c r="Y28" s="1768">
        <f>'Award, Match, and Revenue'!E25</f>
        <v>0</v>
      </c>
      <c r="Z28" s="1770"/>
      <c r="AA28" s="1781" t="s">
        <v>2160</v>
      </c>
      <c r="AB28" s="1782"/>
      <c r="AC28" s="1782"/>
      <c r="AD28" s="1783"/>
      <c r="AE28" s="1877">
        <f>MIN(1,IFERROR(U28/Y28,0))</f>
        <v>0</v>
      </c>
      <c r="AF28" s="1878"/>
      <c r="AG28" s="1781" t="s">
        <v>2161</v>
      </c>
      <c r="AH28" s="1782"/>
      <c r="AI28" s="1782"/>
      <c r="AJ28" s="376">
        <f>ROUNDDOWN(AE28/0.05,0)</f>
        <v>0</v>
      </c>
      <c r="AK28" s="1875">
        <f>MIN(20,AJ28*1)</f>
        <v>0</v>
      </c>
      <c r="AL28" s="1876"/>
    </row>
    <row r="29" spans="1:41" ht="15" customHeight="1">
      <c r="A29" s="1773" t="s">
        <v>2162</v>
      </c>
      <c r="B29" s="1774"/>
      <c r="C29" s="1774"/>
      <c r="D29" s="1774"/>
      <c r="E29" s="1774"/>
      <c r="F29" s="1823" t="str">
        <f>'Award, Match, and Revenue'!M3</f>
        <v>Subsidy Program #1 Name</v>
      </c>
      <c r="G29" s="1824"/>
      <c r="H29" s="1824"/>
      <c r="I29" s="1824"/>
      <c r="J29" s="1824"/>
      <c r="K29" s="1824"/>
      <c r="L29" s="1824"/>
      <c r="M29" s="1824"/>
      <c r="N29" s="1824"/>
      <c r="O29" s="1824"/>
      <c r="P29" s="1824"/>
      <c r="Q29" s="1824"/>
      <c r="R29" s="1824"/>
      <c r="S29" s="1825"/>
      <c r="T29" s="1781" t="s">
        <v>2163</v>
      </c>
      <c r="U29" s="1782"/>
      <c r="V29" s="1782"/>
      <c r="W29" s="1782"/>
      <c r="X29" s="1782"/>
      <c r="Y29" s="1775"/>
      <c r="Z29" s="1777"/>
      <c r="AA29" s="1803" t="s">
        <v>2164</v>
      </c>
      <c r="AB29" s="1804"/>
      <c r="AC29" s="1804"/>
      <c r="AD29" s="1804"/>
      <c r="AE29" s="1804"/>
      <c r="AF29" s="1804"/>
      <c r="AG29" s="1804"/>
      <c r="AH29" s="1804"/>
      <c r="AI29" s="1804"/>
      <c r="AJ29" s="1804"/>
      <c r="AK29" s="1821"/>
      <c r="AL29" s="1822"/>
    </row>
    <row r="30" spans="1:41" ht="15" customHeight="1">
      <c r="A30" s="1773" t="s">
        <v>2165</v>
      </c>
      <c r="B30" s="1774"/>
      <c r="C30" s="1774"/>
      <c r="D30" s="1774"/>
      <c r="E30" s="1774"/>
      <c r="F30" s="1823" t="str">
        <f>'Award, Match, and Revenue'!O3</f>
        <v>Subsidy Program #2 Name</v>
      </c>
      <c r="G30" s="1824"/>
      <c r="H30" s="1824"/>
      <c r="I30" s="1824"/>
      <c r="J30" s="1824"/>
      <c r="K30" s="1824"/>
      <c r="L30" s="1824"/>
      <c r="M30" s="1824"/>
      <c r="N30" s="1824"/>
      <c r="O30" s="1824"/>
      <c r="P30" s="1824"/>
      <c r="Q30" s="1824"/>
      <c r="R30" s="1824"/>
      <c r="S30" s="1825"/>
      <c r="T30" s="1781" t="s">
        <v>2163</v>
      </c>
      <c r="U30" s="1782"/>
      <c r="V30" s="1782"/>
      <c r="W30" s="1782"/>
      <c r="X30" s="1782"/>
      <c r="Y30" s="1775"/>
      <c r="Z30" s="1777"/>
      <c r="AA30" s="1803" t="s">
        <v>2164</v>
      </c>
      <c r="AB30" s="1804"/>
      <c r="AC30" s="1804"/>
      <c r="AD30" s="1804"/>
      <c r="AE30" s="1804"/>
      <c r="AF30" s="1804"/>
      <c r="AG30" s="1804"/>
      <c r="AH30" s="1804"/>
      <c r="AI30" s="1804"/>
      <c r="AJ30" s="1804"/>
      <c r="AK30" s="1821"/>
      <c r="AL30" s="1822"/>
    </row>
    <row r="31" spans="1:41" ht="15" customHeight="1">
      <c r="A31" s="1773" t="s">
        <v>2166</v>
      </c>
      <c r="B31" s="1774"/>
      <c r="C31" s="1774"/>
      <c r="D31" s="1774"/>
      <c r="E31" s="1774"/>
      <c r="F31" s="1823" t="str">
        <f>Operating!C38</f>
        <v>Operating Subsidy: (specify)</v>
      </c>
      <c r="G31" s="1824"/>
      <c r="H31" s="1824"/>
      <c r="I31" s="1824"/>
      <c r="J31" s="1824"/>
      <c r="K31" s="1824"/>
      <c r="L31" s="1824"/>
      <c r="M31" s="1824"/>
      <c r="N31" s="1824"/>
      <c r="O31" s="1824"/>
      <c r="P31" s="1824"/>
      <c r="Q31" s="1824"/>
      <c r="R31" s="1824"/>
      <c r="S31" s="1825"/>
      <c r="T31" s="1781" t="s">
        <v>2163</v>
      </c>
      <c r="U31" s="1782"/>
      <c r="V31" s="1782"/>
      <c r="W31" s="1782"/>
      <c r="X31" s="1782"/>
      <c r="Y31" s="1775"/>
      <c r="Z31" s="1777"/>
      <c r="AA31" s="1803" t="s">
        <v>2167</v>
      </c>
      <c r="AB31" s="1804"/>
      <c r="AC31" s="1804"/>
      <c r="AD31" s="1804"/>
      <c r="AE31" s="1804"/>
      <c r="AF31" s="1804"/>
      <c r="AG31" s="1804"/>
      <c r="AH31" s="1804"/>
      <c r="AI31" s="1804"/>
      <c r="AJ31" s="1804"/>
      <c r="AK31" s="1821"/>
      <c r="AL31" s="1822"/>
    </row>
    <row r="32" spans="1:41" ht="15" customHeight="1">
      <c r="A32" s="1773" t="s">
        <v>2168</v>
      </c>
      <c r="B32" s="1774"/>
      <c r="C32" s="1774"/>
      <c r="D32" s="1774"/>
      <c r="E32" s="1774"/>
      <c r="F32" s="1823" t="str">
        <f>Operating!C39</f>
        <v>Operating Subsidy: (specify)</v>
      </c>
      <c r="G32" s="1824"/>
      <c r="H32" s="1824"/>
      <c r="I32" s="1824"/>
      <c r="J32" s="1824"/>
      <c r="K32" s="1824"/>
      <c r="L32" s="1824"/>
      <c r="M32" s="1824"/>
      <c r="N32" s="1824"/>
      <c r="O32" s="1824"/>
      <c r="P32" s="1824"/>
      <c r="Q32" s="1824"/>
      <c r="R32" s="1824"/>
      <c r="S32" s="1825"/>
      <c r="T32" s="1781" t="s">
        <v>2163</v>
      </c>
      <c r="U32" s="1782"/>
      <c r="V32" s="1782"/>
      <c r="W32" s="1782"/>
      <c r="X32" s="1782"/>
      <c r="Y32" s="1775"/>
      <c r="Z32" s="1777"/>
      <c r="AA32" s="1803" t="s">
        <v>2167</v>
      </c>
      <c r="AB32" s="1804"/>
      <c r="AC32" s="1804"/>
      <c r="AD32" s="1804"/>
      <c r="AE32" s="1804"/>
      <c r="AF32" s="1804"/>
      <c r="AG32" s="1804"/>
      <c r="AH32" s="1804"/>
      <c r="AI32" s="1804"/>
      <c r="AJ32" s="1804"/>
      <c r="AK32" s="1821"/>
      <c r="AL32" s="1822"/>
    </row>
    <row r="33" spans="1:41" s="29" customFormat="1" ht="30" customHeight="1">
      <c r="A33" s="760" t="s">
        <v>109</v>
      </c>
      <c r="B33" s="761"/>
      <c r="C33" s="1818"/>
      <c r="D33" s="1819" t="str">
        <f>F29</f>
        <v>Subsidy Program #1 Name</v>
      </c>
      <c r="E33" s="761"/>
      <c r="F33" s="761"/>
      <c r="G33" s="761"/>
      <c r="H33" s="761"/>
      <c r="I33" s="761"/>
      <c r="J33" s="761"/>
      <c r="K33" s="1818"/>
      <c r="L33" s="810" t="s">
        <v>2169</v>
      </c>
      <c r="M33" s="761"/>
      <c r="N33" s="761"/>
      <c r="O33" s="761"/>
      <c r="P33" s="761"/>
      <c r="Q33" s="761"/>
      <c r="R33" s="761"/>
      <c r="S33" s="761"/>
      <c r="T33" s="761"/>
      <c r="U33" s="761"/>
      <c r="V33" s="761"/>
      <c r="W33" s="761"/>
      <c r="X33" s="761"/>
      <c r="Y33" s="761"/>
      <c r="Z33" s="761"/>
      <c r="AA33" s="761"/>
      <c r="AB33" s="761"/>
      <c r="AC33" s="761"/>
      <c r="AD33" s="761"/>
      <c r="AE33" s="761"/>
      <c r="AF33" s="811" t="s">
        <v>112</v>
      </c>
      <c r="AG33" s="812"/>
      <c r="AH33" s="812"/>
      <c r="AI33" s="812"/>
      <c r="AJ33" s="1820"/>
      <c r="AK33" s="1845"/>
      <c r="AL33" s="1846"/>
    </row>
    <row r="34" spans="1:41" s="29" customFormat="1" ht="30" customHeight="1">
      <c r="A34" s="760" t="s">
        <v>109</v>
      </c>
      <c r="B34" s="761"/>
      <c r="C34" s="1818"/>
      <c r="D34" s="1819" t="str">
        <f>F30</f>
        <v>Subsidy Program #2 Name</v>
      </c>
      <c r="E34" s="761"/>
      <c r="F34" s="761"/>
      <c r="G34" s="761"/>
      <c r="H34" s="761"/>
      <c r="I34" s="761"/>
      <c r="J34" s="761"/>
      <c r="K34" s="1818"/>
      <c r="L34" s="810" t="s">
        <v>2169</v>
      </c>
      <c r="M34" s="761"/>
      <c r="N34" s="761"/>
      <c r="O34" s="761"/>
      <c r="P34" s="761"/>
      <c r="Q34" s="761"/>
      <c r="R34" s="761"/>
      <c r="S34" s="761"/>
      <c r="T34" s="761"/>
      <c r="U34" s="761"/>
      <c r="V34" s="761"/>
      <c r="W34" s="761"/>
      <c r="X34" s="761"/>
      <c r="Y34" s="761"/>
      <c r="Z34" s="761"/>
      <c r="AA34" s="761"/>
      <c r="AB34" s="761"/>
      <c r="AC34" s="761"/>
      <c r="AD34" s="761"/>
      <c r="AE34" s="761"/>
      <c r="AF34" s="811" t="s">
        <v>112</v>
      </c>
      <c r="AG34" s="812"/>
      <c r="AH34" s="812"/>
      <c r="AI34" s="812"/>
      <c r="AJ34" s="1820"/>
      <c r="AK34" s="1845"/>
      <c r="AL34" s="1846"/>
    </row>
    <row r="35" spans="1:41" s="29" customFormat="1" ht="30" customHeight="1">
      <c r="A35" s="760" t="s">
        <v>109</v>
      </c>
      <c r="B35" s="761"/>
      <c r="C35" s="1818"/>
      <c r="D35" s="1819" t="str">
        <f>F31</f>
        <v>Operating Subsidy: (specify)</v>
      </c>
      <c r="E35" s="761"/>
      <c r="F35" s="761"/>
      <c r="G35" s="761"/>
      <c r="H35" s="761"/>
      <c r="I35" s="761"/>
      <c r="J35" s="761"/>
      <c r="K35" s="1818"/>
      <c r="L35" s="810" t="s">
        <v>2170</v>
      </c>
      <c r="M35" s="761"/>
      <c r="N35" s="761"/>
      <c r="O35" s="761"/>
      <c r="P35" s="761"/>
      <c r="Q35" s="761"/>
      <c r="R35" s="761"/>
      <c r="S35" s="761"/>
      <c r="T35" s="761"/>
      <c r="U35" s="761"/>
      <c r="V35" s="761"/>
      <c r="W35" s="761"/>
      <c r="X35" s="761"/>
      <c r="Y35" s="761"/>
      <c r="Z35" s="761"/>
      <c r="AA35" s="761"/>
      <c r="AB35" s="761"/>
      <c r="AC35" s="761"/>
      <c r="AD35" s="761"/>
      <c r="AE35" s="761"/>
      <c r="AF35" s="811" t="s">
        <v>112</v>
      </c>
      <c r="AG35" s="812"/>
      <c r="AH35" s="812"/>
      <c r="AI35" s="812"/>
      <c r="AJ35" s="1820"/>
      <c r="AK35" s="1845"/>
      <c r="AL35" s="1846"/>
    </row>
    <row r="36" spans="1:41" s="29" customFormat="1" ht="30" customHeight="1" thickBot="1">
      <c r="A36" s="1834" t="s">
        <v>109</v>
      </c>
      <c r="B36" s="1835"/>
      <c r="C36" s="1836"/>
      <c r="D36" s="1854" t="str">
        <f>F32</f>
        <v>Operating Subsidy: (specify)</v>
      </c>
      <c r="E36" s="1835"/>
      <c r="F36" s="1835"/>
      <c r="G36" s="1835"/>
      <c r="H36" s="1835"/>
      <c r="I36" s="1835"/>
      <c r="J36" s="1835"/>
      <c r="K36" s="1836"/>
      <c r="L36" s="1855" t="s">
        <v>2170</v>
      </c>
      <c r="M36" s="1835"/>
      <c r="N36" s="1835"/>
      <c r="O36" s="1835"/>
      <c r="P36" s="1835"/>
      <c r="Q36" s="1835"/>
      <c r="R36" s="1835"/>
      <c r="S36" s="1835"/>
      <c r="T36" s="1835"/>
      <c r="U36" s="1835"/>
      <c r="V36" s="1835"/>
      <c r="W36" s="1835"/>
      <c r="X36" s="1835"/>
      <c r="Y36" s="1835"/>
      <c r="Z36" s="1835"/>
      <c r="AA36" s="1835"/>
      <c r="AB36" s="1835"/>
      <c r="AC36" s="1835"/>
      <c r="AD36" s="1835"/>
      <c r="AE36" s="1835"/>
      <c r="AF36" s="1055" t="s">
        <v>112</v>
      </c>
      <c r="AG36" s="1056"/>
      <c r="AH36" s="1056"/>
      <c r="AI36" s="1056"/>
      <c r="AJ36" s="1057"/>
      <c r="AK36" s="1845"/>
      <c r="AL36" s="1846"/>
    </row>
    <row r="37" spans="1:41" ht="15" customHeight="1">
      <c r="A37" s="1843" t="s">
        <v>2171</v>
      </c>
      <c r="B37" s="1844"/>
      <c r="C37" s="1844"/>
      <c r="D37" s="1844"/>
      <c r="E37" s="1844"/>
      <c r="F37" s="1844"/>
      <c r="G37" s="1844"/>
      <c r="H37" s="1844"/>
      <c r="I37" s="1844"/>
      <c r="J37" s="1844"/>
      <c r="K37" s="1844"/>
      <c r="L37" s="1844"/>
      <c r="M37" s="1844"/>
      <c r="N37" s="1844"/>
      <c r="O37" s="1844"/>
      <c r="P37" s="1844"/>
      <c r="Q37" s="1844"/>
      <c r="R37" s="1844"/>
      <c r="S37" s="1844"/>
      <c r="T37" s="1844"/>
      <c r="U37" s="1844"/>
      <c r="V37" s="1844"/>
      <c r="W37" s="1844"/>
      <c r="X37" s="1844"/>
      <c r="Y37" s="1844"/>
      <c r="Z37" s="1844"/>
      <c r="AA37" s="1844"/>
      <c r="AB37" s="1844"/>
      <c r="AC37" s="1844"/>
      <c r="AD37" s="1844"/>
      <c r="AE37" s="1844"/>
      <c r="AF37" s="1844"/>
      <c r="AG37" s="1844"/>
      <c r="AH37" s="1844"/>
      <c r="AI37" s="1844"/>
      <c r="AJ37" s="1844"/>
      <c r="AK37" s="1839">
        <f>AK38+AK50+AK65</f>
        <v>0</v>
      </c>
      <c r="AL37" s="1840"/>
    </row>
    <row r="38" spans="1:41" customFormat="1" ht="15" customHeight="1">
      <c r="A38" s="1851" t="s">
        <v>2172</v>
      </c>
      <c r="B38" s="1852"/>
      <c r="C38" s="1852"/>
      <c r="D38" s="1852"/>
      <c r="E38" s="1852"/>
      <c r="F38" s="1852"/>
      <c r="G38" s="1852"/>
      <c r="H38" s="1852"/>
      <c r="I38" s="1852"/>
      <c r="J38" s="1852"/>
      <c r="K38" s="1852"/>
      <c r="L38" s="1852"/>
      <c r="M38" s="1852"/>
      <c r="N38" s="1852"/>
      <c r="O38" s="1852"/>
      <c r="P38" s="1852"/>
      <c r="Q38" s="1852"/>
      <c r="R38" s="1852"/>
      <c r="S38" s="1852"/>
      <c r="T38" s="1852"/>
      <c r="U38" s="1852"/>
      <c r="V38" s="1852"/>
      <c r="W38" s="1852"/>
      <c r="X38" s="1852"/>
      <c r="Y38" s="1852"/>
      <c r="Z38" s="1852"/>
      <c r="AA38" s="1852"/>
      <c r="AB38" s="1852"/>
      <c r="AC38" s="1852"/>
      <c r="AD38" s="1852"/>
      <c r="AE38" s="1852"/>
      <c r="AF38" s="1852"/>
      <c r="AG38" s="1852"/>
      <c r="AH38" s="1852"/>
      <c r="AI38" s="1852"/>
      <c r="AJ38" s="1853"/>
      <c r="AK38" s="1926">
        <f>MAX(AK39,AK42)+AK46</f>
        <v>0</v>
      </c>
      <c r="AL38" s="1927"/>
    </row>
    <row r="39" spans="1:41" customFormat="1" ht="30" customHeight="1">
      <c r="A39" s="976" t="s">
        <v>2173</v>
      </c>
      <c r="B39" s="977"/>
      <c r="C39" s="977"/>
      <c r="D39" s="977"/>
      <c r="E39" s="977"/>
      <c r="F39" s="977"/>
      <c r="G39" s="977"/>
      <c r="H39" s="977"/>
      <c r="I39" s="977"/>
      <c r="J39" s="977"/>
      <c r="K39" s="977"/>
      <c r="L39" s="977"/>
      <c r="M39" s="977"/>
      <c r="N39" s="977"/>
      <c r="O39" s="977"/>
      <c r="P39" s="977"/>
      <c r="Q39" s="977"/>
      <c r="R39" s="977"/>
      <c r="S39" s="977"/>
      <c r="T39" s="977"/>
      <c r="U39" s="977"/>
      <c r="V39" s="977"/>
      <c r="W39" s="977"/>
      <c r="X39" s="977"/>
      <c r="Y39" s="977"/>
      <c r="Z39" s="977"/>
      <c r="AA39" s="977"/>
      <c r="AB39" s="977"/>
      <c r="AC39" s="977"/>
      <c r="AD39" s="977"/>
      <c r="AE39" s="977"/>
      <c r="AF39" s="977"/>
      <c r="AG39" s="1850"/>
      <c r="AH39" s="1847"/>
      <c r="AI39" s="1848"/>
      <c r="AJ39" s="1849"/>
      <c r="AK39" s="1813">
        <f>IF(AH39="Yes",10,0)</f>
        <v>0</v>
      </c>
      <c r="AL39" s="1814"/>
    </row>
    <row r="40" spans="1:41" s="31" customFormat="1" ht="60" customHeight="1">
      <c r="A40" s="955" t="s">
        <v>240</v>
      </c>
      <c r="B40" s="956"/>
      <c r="C40" s="956"/>
      <c r="D40" s="956"/>
      <c r="E40" s="956"/>
      <c r="F40" s="956"/>
      <c r="G40" s="956"/>
      <c r="H40" s="956"/>
      <c r="I40" s="956"/>
      <c r="J40" s="956"/>
      <c r="K40" s="956"/>
      <c r="L40" s="956"/>
      <c r="M40" s="956"/>
      <c r="N40" s="956"/>
      <c r="O40" s="956"/>
      <c r="P40" s="956"/>
      <c r="Q40" s="957" t="s">
        <v>241</v>
      </c>
      <c r="R40" s="958"/>
      <c r="S40" s="958"/>
      <c r="T40" s="958"/>
      <c r="U40" s="1806"/>
      <c r="V40" s="957" t="s">
        <v>242</v>
      </c>
      <c r="W40" s="958"/>
      <c r="X40" s="958"/>
      <c r="Y40" s="1806"/>
      <c r="Z40" s="957" t="s">
        <v>243</v>
      </c>
      <c r="AA40" s="958"/>
      <c r="AB40" s="958"/>
      <c r="AC40" s="957" t="s">
        <v>244</v>
      </c>
      <c r="AD40" s="958"/>
      <c r="AE40" s="958"/>
      <c r="AF40" s="958"/>
      <c r="AG40" s="958"/>
      <c r="AH40" s="958"/>
      <c r="AI40" s="1806"/>
      <c r="AJ40" s="973" t="s">
        <v>245</v>
      </c>
      <c r="AK40" s="974"/>
      <c r="AL40" s="975"/>
      <c r="AM40"/>
    </row>
    <row r="41" spans="1:41" s="29" customFormat="1" ht="30" customHeight="1">
      <c r="A41" s="925"/>
      <c r="B41" s="926"/>
      <c r="C41" s="926"/>
      <c r="D41" s="926"/>
      <c r="E41" s="926"/>
      <c r="F41" s="926"/>
      <c r="G41" s="926"/>
      <c r="H41" s="926"/>
      <c r="I41" s="926"/>
      <c r="J41" s="926"/>
      <c r="K41" s="926"/>
      <c r="L41" s="926"/>
      <c r="M41" s="926"/>
      <c r="N41" s="926"/>
      <c r="O41" s="926"/>
      <c r="P41" s="926"/>
      <c r="Q41" s="928"/>
      <c r="R41" s="929"/>
      <c r="S41" s="929"/>
      <c r="T41" s="929"/>
      <c r="U41" s="1805"/>
      <c r="V41" s="970"/>
      <c r="W41" s="971"/>
      <c r="X41" s="971"/>
      <c r="Y41" s="1807"/>
      <c r="Z41" s="928"/>
      <c r="AA41" s="929"/>
      <c r="AB41" s="929"/>
      <c r="AC41" s="928"/>
      <c r="AD41" s="929"/>
      <c r="AE41" s="929"/>
      <c r="AF41" s="929"/>
      <c r="AG41" s="929"/>
      <c r="AH41" s="929"/>
      <c r="AI41" s="1805"/>
      <c r="AJ41" s="952"/>
      <c r="AK41" s="953"/>
      <c r="AL41" s="954"/>
      <c r="AM41" s="31"/>
    </row>
    <row r="42" spans="1:41" customFormat="1" ht="45" customHeight="1">
      <c r="A42" s="976" t="s">
        <v>2174</v>
      </c>
      <c r="B42" s="977"/>
      <c r="C42" s="977"/>
      <c r="D42" s="977"/>
      <c r="E42" s="977"/>
      <c r="F42" s="977"/>
      <c r="G42" s="977"/>
      <c r="H42" s="977"/>
      <c r="I42" s="977"/>
      <c r="J42" s="977"/>
      <c r="K42" s="977"/>
      <c r="L42" s="977"/>
      <c r="M42" s="977"/>
      <c r="N42" s="977"/>
      <c r="O42" s="977"/>
      <c r="P42" s="977"/>
      <c r="Q42" s="977"/>
      <c r="R42" s="977"/>
      <c r="S42" s="977"/>
      <c r="T42" s="977"/>
      <c r="U42" s="977"/>
      <c r="V42" s="977"/>
      <c r="W42" s="977"/>
      <c r="X42" s="977"/>
      <c r="Y42" s="977"/>
      <c r="Z42" s="977"/>
      <c r="AA42" s="977"/>
      <c r="AB42" s="977"/>
      <c r="AC42" s="977"/>
      <c r="AD42" s="977"/>
      <c r="AE42" s="977"/>
      <c r="AF42" s="977"/>
      <c r="AG42" s="977"/>
      <c r="AH42" s="1815" t="str">
        <f>IF(AO44+AO45=10,"Yes","No")</f>
        <v>No</v>
      </c>
      <c r="AI42" s="1816"/>
      <c r="AJ42" s="1817"/>
      <c r="AK42" s="1813">
        <f>IF(AK39=10,0,IF(AH42="Yes",10,0))</f>
        <v>0</v>
      </c>
      <c r="AL42" s="1814"/>
    </row>
    <row r="43" spans="1:41" s="31" customFormat="1" ht="60" customHeight="1">
      <c r="A43" s="955" t="s">
        <v>240</v>
      </c>
      <c r="B43" s="956"/>
      <c r="C43" s="956"/>
      <c r="D43" s="956"/>
      <c r="E43" s="956"/>
      <c r="F43" s="956"/>
      <c r="G43" s="956"/>
      <c r="H43" s="956"/>
      <c r="I43" s="956"/>
      <c r="J43" s="956"/>
      <c r="K43" s="956"/>
      <c r="L43" s="956"/>
      <c r="M43" s="956"/>
      <c r="N43" s="956"/>
      <c r="O43" s="956"/>
      <c r="P43" s="956"/>
      <c r="Q43" s="957" t="s">
        <v>241</v>
      </c>
      <c r="R43" s="958"/>
      <c r="S43" s="958"/>
      <c r="T43" s="958"/>
      <c r="U43" s="1806"/>
      <c r="V43" s="957" t="s">
        <v>242</v>
      </c>
      <c r="W43" s="958"/>
      <c r="X43" s="958"/>
      <c r="Y43" s="1806"/>
      <c r="Z43" s="957" t="s">
        <v>243</v>
      </c>
      <c r="AA43" s="958"/>
      <c r="AB43" s="958"/>
      <c r="AC43" s="957" t="s">
        <v>249</v>
      </c>
      <c r="AD43" s="958"/>
      <c r="AE43" s="958"/>
      <c r="AF43" s="958"/>
      <c r="AG43" s="958"/>
      <c r="AH43" s="958"/>
      <c r="AI43" s="1806"/>
      <c r="AJ43" s="973" t="s">
        <v>245</v>
      </c>
      <c r="AK43" s="974"/>
      <c r="AL43" s="975"/>
      <c r="AM43" s="362">
        <v>44448</v>
      </c>
      <c r="AN43" s="362">
        <f>AM43-(365*10)</f>
        <v>40798</v>
      </c>
      <c r="AO43" s="361"/>
    </row>
    <row r="44" spans="1:41" s="29" customFormat="1" ht="30" customHeight="1">
      <c r="A44" s="925"/>
      <c r="B44" s="926"/>
      <c r="C44" s="926"/>
      <c r="D44" s="926"/>
      <c r="E44" s="926"/>
      <c r="F44" s="926"/>
      <c r="G44" s="926"/>
      <c r="H44" s="926"/>
      <c r="I44" s="926"/>
      <c r="J44" s="926"/>
      <c r="K44" s="926"/>
      <c r="L44" s="926"/>
      <c r="M44" s="926"/>
      <c r="N44" s="926"/>
      <c r="O44" s="926"/>
      <c r="P44" s="926"/>
      <c r="Q44" s="928"/>
      <c r="R44" s="929"/>
      <c r="S44" s="929"/>
      <c r="T44" s="929"/>
      <c r="U44" s="1805"/>
      <c r="V44" s="970"/>
      <c r="W44" s="971"/>
      <c r="X44" s="971"/>
      <c r="Y44" s="1807"/>
      <c r="Z44" s="928"/>
      <c r="AA44" s="929"/>
      <c r="AB44" s="929"/>
      <c r="AC44" s="928"/>
      <c r="AD44" s="929"/>
      <c r="AE44" s="929"/>
      <c r="AF44" s="929"/>
      <c r="AG44" s="929"/>
      <c r="AH44" s="929"/>
      <c r="AI44" s="1805"/>
      <c r="AJ44" s="952"/>
      <c r="AK44" s="953"/>
      <c r="AL44" s="954"/>
      <c r="AM44" s="360">
        <f>IF(AND(A44&lt;&gt;"",AC44&lt;&gt;""),1,0)</f>
        <v>0</v>
      </c>
      <c r="AN44" s="360">
        <f>IF(AND(A44&lt;&gt;"",AJ44&gt;AN43),1,0)</f>
        <v>0</v>
      </c>
      <c r="AO44" s="360">
        <f>IF(AM44+AN44&gt;1,5,0)</f>
        <v>0</v>
      </c>
    </row>
    <row r="45" spans="1:41" s="29" customFormat="1" ht="30" customHeight="1">
      <c r="A45" s="925"/>
      <c r="B45" s="926"/>
      <c r="C45" s="926"/>
      <c r="D45" s="926"/>
      <c r="E45" s="926"/>
      <c r="F45" s="926"/>
      <c r="G45" s="926"/>
      <c r="H45" s="926"/>
      <c r="I45" s="926"/>
      <c r="J45" s="926"/>
      <c r="K45" s="926"/>
      <c r="L45" s="926"/>
      <c r="M45" s="926"/>
      <c r="N45" s="926"/>
      <c r="O45" s="926"/>
      <c r="P45" s="926"/>
      <c r="Q45" s="928"/>
      <c r="R45" s="929"/>
      <c r="S45" s="929"/>
      <c r="T45" s="929"/>
      <c r="U45" s="1805"/>
      <c r="V45" s="970"/>
      <c r="W45" s="971"/>
      <c r="X45" s="971"/>
      <c r="Y45" s="1807"/>
      <c r="Z45" s="928"/>
      <c r="AA45" s="929"/>
      <c r="AB45" s="929"/>
      <c r="AC45" s="928"/>
      <c r="AD45" s="929"/>
      <c r="AE45" s="929"/>
      <c r="AF45" s="929"/>
      <c r="AG45" s="929"/>
      <c r="AH45" s="929"/>
      <c r="AI45" s="1805"/>
      <c r="AJ45" s="952"/>
      <c r="AK45" s="953"/>
      <c r="AL45" s="954"/>
      <c r="AM45" s="360">
        <f>IF(AND(A45&lt;&gt;"",AC45&lt;&gt;""),1,0)</f>
        <v>0</v>
      </c>
      <c r="AN45" s="360">
        <f>IF(AND(A45&lt;&gt;"",AJ45&gt;AN43),1,0)</f>
        <v>0</v>
      </c>
      <c r="AO45" s="360">
        <f>IF(AM45+AN45&gt;1,5,0)</f>
        <v>0</v>
      </c>
    </row>
    <row r="46" spans="1:41" customFormat="1" ht="30" customHeight="1">
      <c r="A46" s="960" t="s">
        <v>2175</v>
      </c>
      <c r="B46" s="961"/>
      <c r="C46" s="961"/>
      <c r="D46" s="961"/>
      <c r="E46" s="961"/>
      <c r="F46" s="961"/>
      <c r="G46" s="961"/>
      <c r="H46" s="961"/>
      <c r="I46" s="961"/>
      <c r="J46" s="961"/>
      <c r="K46" s="961"/>
      <c r="L46" s="961"/>
      <c r="M46" s="961"/>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1813">
        <f>SUM(AO47:AO49)</f>
        <v>0</v>
      </c>
      <c r="AL46" s="1814"/>
    </row>
    <row r="47" spans="1:41" s="29" customFormat="1" ht="30" customHeight="1">
      <c r="A47" s="925"/>
      <c r="B47" s="926"/>
      <c r="C47" s="926"/>
      <c r="D47" s="926"/>
      <c r="E47" s="926"/>
      <c r="F47" s="926"/>
      <c r="G47" s="926"/>
      <c r="H47" s="926"/>
      <c r="I47" s="926"/>
      <c r="J47" s="926"/>
      <c r="K47" s="926"/>
      <c r="L47" s="926"/>
      <c r="M47" s="926"/>
      <c r="N47" s="926"/>
      <c r="O47" s="926"/>
      <c r="P47" s="926"/>
      <c r="Q47" s="928"/>
      <c r="R47" s="929"/>
      <c r="S47" s="929"/>
      <c r="T47" s="929"/>
      <c r="U47" s="1805"/>
      <c r="V47" s="970"/>
      <c r="W47" s="971"/>
      <c r="X47" s="971"/>
      <c r="Y47" s="1807"/>
      <c r="Z47" s="928"/>
      <c r="AA47" s="929"/>
      <c r="AB47" s="929"/>
      <c r="AC47" s="928"/>
      <c r="AD47" s="929"/>
      <c r="AE47" s="929"/>
      <c r="AF47" s="929"/>
      <c r="AG47" s="929"/>
      <c r="AH47" s="929"/>
      <c r="AI47" s="1805"/>
      <c r="AJ47" s="952"/>
      <c r="AK47" s="953"/>
      <c r="AL47" s="954"/>
      <c r="AM47" s="360">
        <f>IF(AND(A47&lt;&gt;"",AC47&lt;&gt;""),1,0)</f>
        <v>0</v>
      </c>
      <c r="AN47" s="360">
        <f>IF(AND(A47&lt;&gt;"",AJ47&gt;AN43),1,0)</f>
        <v>0</v>
      </c>
      <c r="AO47" s="360">
        <f>IF(AM47+AN47&gt;1,5,0)</f>
        <v>0</v>
      </c>
    </row>
    <row r="48" spans="1:41" s="29" customFormat="1" ht="30" customHeight="1">
      <c r="A48" s="925"/>
      <c r="B48" s="926"/>
      <c r="C48" s="926"/>
      <c r="D48" s="926"/>
      <c r="E48" s="926"/>
      <c r="F48" s="926"/>
      <c r="G48" s="926"/>
      <c r="H48" s="926"/>
      <c r="I48" s="926"/>
      <c r="J48" s="926"/>
      <c r="K48" s="926"/>
      <c r="L48" s="926"/>
      <c r="M48" s="926"/>
      <c r="N48" s="926"/>
      <c r="O48" s="926"/>
      <c r="P48" s="926"/>
      <c r="Q48" s="928"/>
      <c r="R48" s="929"/>
      <c r="S48" s="929"/>
      <c r="T48" s="929"/>
      <c r="U48" s="1805"/>
      <c r="V48" s="970"/>
      <c r="W48" s="971"/>
      <c r="X48" s="971"/>
      <c r="Y48" s="1807"/>
      <c r="Z48" s="928"/>
      <c r="AA48" s="929"/>
      <c r="AB48" s="929"/>
      <c r="AC48" s="928"/>
      <c r="AD48" s="929"/>
      <c r="AE48" s="929"/>
      <c r="AF48" s="929"/>
      <c r="AG48" s="929"/>
      <c r="AH48" s="929"/>
      <c r="AI48" s="1805"/>
      <c r="AJ48" s="952"/>
      <c r="AK48" s="953"/>
      <c r="AL48" s="954"/>
      <c r="AM48" s="360">
        <f t="shared" ref="AM48:AM49" si="3">IF(AND(A48&lt;&gt;"",AC48&lt;&gt;""),1,0)</f>
        <v>0</v>
      </c>
      <c r="AN48" s="360">
        <f>IF(AND(A48&lt;&gt;"",AJ48&gt;AN43),1,0)</f>
        <v>0</v>
      </c>
      <c r="AO48" s="360">
        <f t="shared" ref="AO48:AO49" si="4">IF(AM48+AN48&gt;1,5,0)</f>
        <v>0</v>
      </c>
    </row>
    <row r="49" spans="1:41" s="29" customFormat="1" ht="30" customHeight="1">
      <c r="A49" s="925"/>
      <c r="B49" s="926"/>
      <c r="C49" s="926"/>
      <c r="D49" s="926"/>
      <c r="E49" s="926"/>
      <c r="F49" s="926"/>
      <c r="G49" s="926"/>
      <c r="H49" s="926"/>
      <c r="I49" s="926"/>
      <c r="J49" s="926"/>
      <c r="K49" s="926"/>
      <c r="L49" s="926"/>
      <c r="M49" s="926"/>
      <c r="N49" s="926"/>
      <c r="O49" s="926"/>
      <c r="P49" s="926"/>
      <c r="Q49" s="928"/>
      <c r="R49" s="929"/>
      <c r="S49" s="929"/>
      <c r="T49" s="929"/>
      <c r="U49" s="1805"/>
      <c r="V49" s="970"/>
      <c r="W49" s="971"/>
      <c r="X49" s="971"/>
      <c r="Y49" s="1807"/>
      <c r="Z49" s="928"/>
      <c r="AA49" s="929"/>
      <c r="AB49" s="929"/>
      <c r="AC49" s="928"/>
      <c r="AD49" s="929"/>
      <c r="AE49" s="929"/>
      <c r="AF49" s="929"/>
      <c r="AG49" s="929"/>
      <c r="AH49" s="929"/>
      <c r="AI49" s="1805"/>
      <c r="AJ49" s="952"/>
      <c r="AK49" s="953"/>
      <c r="AL49" s="954"/>
      <c r="AM49" s="360">
        <f t="shared" si="3"/>
        <v>0</v>
      </c>
      <c r="AN49" s="360">
        <f>IF(AND(A49&lt;&gt;"",AJ49&gt;AN43),1,0)</f>
        <v>0</v>
      </c>
      <c r="AO49" s="360">
        <f t="shared" si="4"/>
        <v>0</v>
      </c>
    </row>
    <row r="50" spans="1:41" customFormat="1" ht="30" customHeight="1">
      <c r="A50" s="1851" t="s">
        <v>2176</v>
      </c>
      <c r="B50" s="1852"/>
      <c r="C50" s="1852"/>
      <c r="D50" s="1852"/>
      <c r="E50" s="1852"/>
      <c r="F50" s="1852"/>
      <c r="G50" s="1852"/>
      <c r="H50" s="1852"/>
      <c r="I50" s="1852"/>
      <c r="J50" s="1852"/>
      <c r="K50" s="1852"/>
      <c r="L50" s="1852"/>
      <c r="M50" s="1852"/>
      <c r="N50" s="1852"/>
      <c r="O50" s="1852"/>
      <c r="P50" s="1852"/>
      <c r="Q50" s="1852"/>
      <c r="R50" s="1852"/>
      <c r="S50" s="1852"/>
      <c r="T50" s="1852"/>
      <c r="U50" s="1852"/>
      <c r="V50" s="1852"/>
      <c r="W50" s="1852"/>
      <c r="X50" s="1852"/>
      <c r="Y50" s="1852"/>
      <c r="Z50" s="1852"/>
      <c r="AA50" s="1852"/>
      <c r="AB50" s="1852"/>
      <c r="AC50" s="1852"/>
      <c r="AD50" s="1852"/>
      <c r="AE50" s="1853"/>
      <c r="AF50" s="1093" t="s">
        <v>279</v>
      </c>
      <c r="AG50" s="1094"/>
      <c r="AH50" s="1928">
        <f>SUM(AN52:AN63)/12</f>
        <v>0</v>
      </c>
      <c r="AI50" s="1929"/>
      <c r="AJ50" s="1930"/>
      <c r="AK50" s="1841">
        <f>MIN(15,ROUNDDOWN(AH50,0))</f>
        <v>0</v>
      </c>
      <c r="AL50" s="1842"/>
      <c r="AO50" s="30"/>
    </row>
    <row r="51" spans="1:41" s="31" customFormat="1" ht="45" customHeight="1">
      <c r="A51" s="955" t="s">
        <v>2177</v>
      </c>
      <c r="B51" s="956"/>
      <c r="C51" s="956"/>
      <c r="D51" s="956"/>
      <c r="E51" s="956"/>
      <c r="F51" s="956"/>
      <c r="G51" s="956"/>
      <c r="H51" s="956"/>
      <c r="I51" s="956"/>
      <c r="J51" s="956"/>
      <c r="K51" s="956"/>
      <c r="L51" s="956"/>
      <c r="M51" s="956"/>
      <c r="N51" s="956"/>
      <c r="O51" s="956"/>
      <c r="P51" s="957" t="s">
        <v>241</v>
      </c>
      <c r="Q51" s="958"/>
      <c r="R51" s="958"/>
      <c r="S51" s="958"/>
      <c r="T51" s="1806"/>
      <c r="U51" s="957" t="s">
        <v>2178</v>
      </c>
      <c r="V51" s="958"/>
      <c r="W51" s="958"/>
      <c r="X51" s="958"/>
      <c r="Y51" s="958"/>
      <c r="Z51" s="1806"/>
      <c r="AA51" s="957" t="s">
        <v>243</v>
      </c>
      <c r="AB51" s="958"/>
      <c r="AC51" s="1806"/>
      <c r="AD51" s="957" t="s">
        <v>258</v>
      </c>
      <c r="AE51" s="958"/>
      <c r="AF51" s="958"/>
      <c r="AG51" s="958"/>
      <c r="AH51" s="958"/>
      <c r="AI51" s="958"/>
      <c r="AJ51" s="1806"/>
      <c r="AK51" s="957" t="s">
        <v>259</v>
      </c>
      <c r="AL51" s="1048"/>
      <c r="AM51" s="29"/>
      <c r="AO51" s="30"/>
    </row>
    <row r="52" spans="1:41" s="29" customFormat="1" ht="30" customHeight="1">
      <c r="A52" s="925"/>
      <c r="B52" s="926"/>
      <c r="C52" s="926"/>
      <c r="D52" s="926"/>
      <c r="E52" s="926"/>
      <c r="F52" s="926"/>
      <c r="G52" s="926"/>
      <c r="H52" s="926"/>
      <c r="I52" s="926"/>
      <c r="J52" s="926"/>
      <c r="K52" s="926"/>
      <c r="L52" s="926"/>
      <c r="M52" s="926"/>
      <c r="N52" s="926"/>
      <c r="O52" s="926"/>
      <c r="P52" s="928"/>
      <c r="Q52" s="929"/>
      <c r="R52" s="929"/>
      <c r="S52" s="929"/>
      <c r="T52" s="1805"/>
      <c r="U52" s="928"/>
      <c r="V52" s="929"/>
      <c r="W52" s="929"/>
      <c r="X52" s="929"/>
      <c r="Y52" s="929"/>
      <c r="Z52" s="1805"/>
      <c r="AA52" s="928"/>
      <c r="AB52" s="929"/>
      <c r="AC52" s="1805"/>
      <c r="AD52" s="928"/>
      <c r="AE52" s="929"/>
      <c r="AF52" s="929"/>
      <c r="AG52" s="929"/>
      <c r="AH52" s="929"/>
      <c r="AI52" s="929"/>
      <c r="AJ52" s="1805"/>
      <c r="AK52" s="947"/>
      <c r="AL52" s="948"/>
      <c r="AM52" s="360">
        <f t="shared" ref="AM52:AM63" si="5">IF(AND(A52&lt;&gt;"",U52&lt;&gt;"",AA52&lt;&gt;"",AD52&lt;&gt;""),1,0)</f>
        <v>0</v>
      </c>
      <c r="AN52" s="363">
        <f t="shared" ref="AN52:AN63" si="6">IF(AM52=1,AK52,0)</f>
        <v>0</v>
      </c>
      <c r="AO52" s="368"/>
    </row>
    <row r="53" spans="1:41" s="29" customFormat="1" ht="30" customHeight="1">
      <c r="A53" s="925"/>
      <c r="B53" s="926"/>
      <c r="C53" s="926"/>
      <c r="D53" s="926"/>
      <c r="E53" s="926"/>
      <c r="F53" s="926"/>
      <c r="G53" s="926"/>
      <c r="H53" s="926"/>
      <c r="I53" s="926"/>
      <c r="J53" s="926"/>
      <c r="K53" s="926"/>
      <c r="L53" s="926"/>
      <c r="M53" s="926"/>
      <c r="N53" s="926"/>
      <c r="O53" s="926"/>
      <c r="P53" s="928"/>
      <c r="Q53" s="929"/>
      <c r="R53" s="929"/>
      <c r="S53" s="929"/>
      <c r="T53" s="1805"/>
      <c r="U53" s="928"/>
      <c r="V53" s="929"/>
      <c r="W53" s="929"/>
      <c r="X53" s="929"/>
      <c r="Y53" s="929"/>
      <c r="Z53" s="1805"/>
      <c r="AA53" s="928"/>
      <c r="AB53" s="929"/>
      <c r="AC53" s="1805"/>
      <c r="AD53" s="928"/>
      <c r="AE53" s="929"/>
      <c r="AF53" s="929"/>
      <c r="AG53" s="929"/>
      <c r="AH53" s="929"/>
      <c r="AI53" s="929"/>
      <c r="AJ53" s="1805"/>
      <c r="AK53" s="947"/>
      <c r="AL53" s="948"/>
      <c r="AM53" s="360">
        <f t="shared" si="5"/>
        <v>0</v>
      </c>
      <c r="AN53" s="363">
        <f t="shared" si="6"/>
        <v>0</v>
      </c>
      <c r="AO53" s="360"/>
    </row>
    <row r="54" spans="1:41" s="29" customFormat="1" ht="30" customHeight="1">
      <c r="A54" s="925"/>
      <c r="B54" s="926"/>
      <c r="C54" s="926"/>
      <c r="D54" s="926"/>
      <c r="E54" s="926"/>
      <c r="F54" s="926"/>
      <c r="G54" s="926"/>
      <c r="H54" s="926"/>
      <c r="I54" s="926"/>
      <c r="J54" s="926"/>
      <c r="K54" s="926"/>
      <c r="L54" s="926"/>
      <c r="M54" s="926"/>
      <c r="N54" s="926"/>
      <c r="O54" s="926"/>
      <c r="P54" s="928"/>
      <c r="Q54" s="929"/>
      <c r="R54" s="929"/>
      <c r="S54" s="929"/>
      <c r="T54" s="1805"/>
      <c r="U54" s="928"/>
      <c r="V54" s="929"/>
      <c r="W54" s="929"/>
      <c r="X54" s="929"/>
      <c r="Y54" s="929"/>
      <c r="Z54" s="1805"/>
      <c r="AA54" s="928"/>
      <c r="AB54" s="929"/>
      <c r="AC54" s="1805"/>
      <c r="AD54" s="928"/>
      <c r="AE54" s="929"/>
      <c r="AF54" s="929"/>
      <c r="AG54" s="929"/>
      <c r="AH54" s="929"/>
      <c r="AI54" s="929"/>
      <c r="AJ54" s="1805"/>
      <c r="AK54" s="947"/>
      <c r="AL54" s="948"/>
      <c r="AM54" s="360">
        <f t="shared" si="5"/>
        <v>0</v>
      </c>
      <c r="AN54" s="363">
        <f t="shared" si="6"/>
        <v>0</v>
      </c>
      <c r="AO54" s="360"/>
    </row>
    <row r="55" spans="1:41" s="29" customFormat="1" ht="30" customHeight="1">
      <c r="A55" s="925"/>
      <c r="B55" s="926"/>
      <c r="C55" s="926"/>
      <c r="D55" s="926"/>
      <c r="E55" s="926"/>
      <c r="F55" s="926"/>
      <c r="G55" s="926"/>
      <c r="H55" s="926"/>
      <c r="I55" s="926"/>
      <c r="J55" s="926"/>
      <c r="K55" s="926"/>
      <c r="L55" s="926"/>
      <c r="M55" s="926"/>
      <c r="N55" s="926"/>
      <c r="O55" s="926"/>
      <c r="P55" s="928"/>
      <c r="Q55" s="929"/>
      <c r="R55" s="929"/>
      <c r="S55" s="929"/>
      <c r="T55" s="1805"/>
      <c r="U55" s="928"/>
      <c r="V55" s="929"/>
      <c r="W55" s="929"/>
      <c r="X55" s="929"/>
      <c r="Y55" s="929"/>
      <c r="Z55" s="1805"/>
      <c r="AA55" s="928"/>
      <c r="AB55" s="929"/>
      <c r="AC55" s="1805"/>
      <c r="AD55" s="928"/>
      <c r="AE55" s="929"/>
      <c r="AF55" s="929"/>
      <c r="AG55" s="929"/>
      <c r="AH55" s="929"/>
      <c r="AI55" s="929"/>
      <c r="AJ55" s="1805"/>
      <c r="AK55" s="947"/>
      <c r="AL55" s="948"/>
      <c r="AM55" s="360">
        <f t="shared" si="5"/>
        <v>0</v>
      </c>
      <c r="AN55" s="363">
        <f t="shared" si="6"/>
        <v>0</v>
      </c>
      <c r="AO55" s="360"/>
    </row>
    <row r="56" spans="1:41" s="29" customFormat="1" ht="30" customHeight="1">
      <c r="A56" s="925"/>
      <c r="B56" s="926"/>
      <c r="C56" s="926"/>
      <c r="D56" s="926"/>
      <c r="E56" s="926"/>
      <c r="F56" s="926"/>
      <c r="G56" s="926"/>
      <c r="H56" s="926"/>
      <c r="I56" s="926"/>
      <c r="J56" s="926"/>
      <c r="K56" s="926"/>
      <c r="L56" s="926"/>
      <c r="M56" s="926"/>
      <c r="N56" s="926"/>
      <c r="O56" s="926"/>
      <c r="P56" s="928"/>
      <c r="Q56" s="929"/>
      <c r="R56" s="929"/>
      <c r="S56" s="929"/>
      <c r="T56" s="1805"/>
      <c r="U56" s="928"/>
      <c r="V56" s="929"/>
      <c r="W56" s="929"/>
      <c r="X56" s="929"/>
      <c r="Y56" s="929"/>
      <c r="Z56" s="1805"/>
      <c r="AA56" s="928"/>
      <c r="AB56" s="929"/>
      <c r="AC56" s="1805"/>
      <c r="AD56" s="928"/>
      <c r="AE56" s="929"/>
      <c r="AF56" s="929"/>
      <c r="AG56" s="929"/>
      <c r="AH56" s="929"/>
      <c r="AI56" s="929"/>
      <c r="AJ56" s="1805"/>
      <c r="AK56" s="947"/>
      <c r="AL56" s="948"/>
      <c r="AM56" s="360">
        <f t="shared" si="5"/>
        <v>0</v>
      </c>
      <c r="AN56" s="363">
        <f t="shared" si="6"/>
        <v>0</v>
      </c>
      <c r="AO56" s="360"/>
    </row>
    <row r="57" spans="1:41" s="29" customFormat="1" ht="30" customHeight="1">
      <c r="A57" s="925"/>
      <c r="B57" s="926"/>
      <c r="C57" s="926"/>
      <c r="D57" s="926"/>
      <c r="E57" s="926"/>
      <c r="F57" s="926"/>
      <c r="G57" s="926"/>
      <c r="H57" s="926"/>
      <c r="I57" s="926"/>
      <c r="J57" s="926"/>
      <c r="K57" s="926"/>
      <c r="L57" s="926"/>
      <c r="M57" s="926"/>
      <c r="N57" s="926"/>
      <c r="O57" s="926"/>
      <c r="P57" s="928"/>
      <c r="Q57" s="929"/>
      <c r="R57" s="929"/>
      <c r="S57" s="929"/>
      <c r="T57" s="1805"/>
      <c r="U57" s="928"/>
      <c r="V57" s="929"/>
      <c r="W57" s="929"/>
      <c r="X57" s="929"/>
      <c r="Y57" s="929"/>
      <c r="Z57" s="1805"/>
      <c r="AA57" s="928"/>
      <c r="AB57" s="929"/>
      <c r="AC57" s="1805"/>
      <c r="AD57" s="928"/>
      <c r="AE57" s="929"/>
      <c r="AF57" s="929"/>
      <c r="AG57" s="929"/>
      <c r="AH57" s="929"/>
      <c r="AI57" s="929"/>
      <c r="AJ57" s="1805"/>
      <c r="AK57" s="947"/>
      <c r="AL57" s="948"/>
      <c r="AM57" s="360">
        <f t="shared" si="5"/>
        <v>0</v>
      </c>
      <c r="AN57" s="363">
        <f t="shared" si="6"/>
        <v>0</v>
      </c>
      <c r="AO57" s="360"/>
    </row>
    <row r="58" spans="1:41" s="29" customFormat="1" ht="30" customHeight="1">
      <c r="A58" s="925"/>
      <c r="B58" s="926"/>
      <c r="C58" s="926"/>
      <c r="D58" s="926"/>
      <c r="E58" s="926"/>
      <c r="F58" s="926"/>
      <c r="G58" s="926"/>
      <c r="H58" s="926"/>
      <c r="I58" s="926"/>
      <c r="J58" s="926"/>
      <c r="K58" s="926"/>
      <c r="L58" s="926"/>
      <c r="M58" s="926"/>
      <c r="N58" s="926"/>
      <c r="O58" s="926"/>
      <c r="P58" s="928"/>
      <c r="Q58" s="929"/>
      <c r="R58" s="929"/>
      <c r="S58" s="929"/>
      <c r="T58" s="1805"/>
      <c r="U58" s="928"/>
      <c r="V58" s="929"/>
      <c r="W58" s="929"/>
      <c r="X58" s="929"/>
      <c r="Y58" s="929"/>
      <c r="Z58" s="1805"/>
      <c r="AA58" s="928"/>
      <c r="AB58" s="929"/>
      <c r="AC58" s="1805"/>
      <c r="AD58" s="928"/>
      <c r="AE58" s="929"/>
      <c r="AF58" s="929"/>
      <c r="AG58" s="929"/>
      <c r="AH58" s="929"/>
      <c r="AI58" s="929"/>
      <c r="AJ58" s="1805"/>
      <c r="AK58" s="947"/>
      <c r="AL58" s="948"/>
      <c r="AM58" s="360">
        <f t="shared" si="5"/>
        <v>0</v>
      </c>
      <c r="AN58" s="363">
        <f t="shared" si="6"/>
        <v>0</v>
      </c>
      <c r="AO58" s="360"/>
    </row>
    <row r="59" spans="1:41" s="29" customFormat="1" ht="30" customHeight="1">
      <c r="A59" s="925"/>
      <c r="B59" s="926"/>
      <c r="C59" s="926"/>
      <c r="D59" s="926"/>
      <c r="E59" s="926"/>
      <c r="F59" s="926"/>
      <c r="G59" s="926"/>
      <c r="H59" s="926"/>
      <c r="I59" s="926"/>
      <c r="J59" s="926"/>
      <c r="K59" s="926"/>
      <c r="L59" s="926"/>
      <c r="M59" s="926"/>
      <c r="N59" s="926"/>
      <c r="O59" s="926"/>
      <c r="P59" s="928"/>
      <c r="Q59" s="929"/>
      <c r="R59" s="929"/>
      <c r="S59" s="929"/>
      <c r="T59" s="1805"/>
      <c r="U59" s="928"/>
      <c r="V59" s="929"/>
      <c r="W59" s="929"/>
      <c r="X59" s="929"/>
      <c r="Y59" s="929"/>
      <c r="Z59" s="1805"/>
      <c r="AA59" s="928"/>
      <c r="AB59" s="929"/>
      <c r="AC59" s="1805"/>
      <c r="AD59" s="928"/>
      <c r="AE59" s="929"/>
      <c r="AF59" s="929"/>
      <c r="AG59" s="929"/>
      <c r="AH59" s="929"/>
      <c r="AI59" s="929"/>
      <c r="AJ59" s="1805"/>
      <c r="AK59" s="947"/>
      <c r="AL59" s="948"/>
      <c r="AM59" s="360">
        <f t="shared" si="5"/>
        <v>0</v>
      </c>
      <c r="AN59" s="363">
        <f t="shared" si="6"/>
        <v>0</v>
      </c>
      <c r="AO59" s="360"/>
    </row>
    <row r="60" spans="1:41" s="29" customFormat="1" ht="30" customHeight="1">
      <c r="A60" s="925"/>
      <c r="B60" s="926"/>
      <c r="C60" s="926"/>
      <c r="D60" s="926"/>
      <c r="E60" s="926"/>
      <c r="F60" s="926"/>
      <c r="G60" s="926"/>
      <c r="H60" s="926"/>
      <c r="I60" s="926"/>
      <c r="J60" s="926"/>
      <c r="K60" s="926"/>
      <c r="L60" s="926"/>
      <c r="M60" s="926"/>
      <c r="N60" s="926"/>
      <c r="O60" s="926"/>
      <c r="P60" s="928"/>
      <c r="Q60" s="929"/>
      <c r="R60" s="929"/>
      <c r="S60" s="929"/>
      <c r="T60" s="1805"/>
      <c r="U60" s="928"/>
      <c r="V60" s="929"/>
      <c r="W60" s="929"/>
      <c r="X60" s="929"/>
      <c r="Y60" s="929"/>
      <c r="Z60" s="1805"/>
      <c r="AA60" s="928"/>
      <c r="AB60" s="929"/>
      <c r="AC60" s="1805"/>
      <c r="AD60" s="928"/>
      <c r="AE60" s="929"/>
      <c r="AF60" s="929"/>
      <c r="AG60" s="929"/>
      <c r="AH60" s="929"/>
      <c r="AI60" s="929"/>
      <c r="AJ60" s="1805"/>
      <c r="AK60" s="947"/>
      <c r="AL60" s="948"/>
      <c r="AM60" s="360">
        <f t="shared" si="5"/>
        <v>0</v>
      </c>
      <c r="AN60" s="363">
        <f t="shared" si="6"/>
        <v>0</v>
      </c>
      <c r="AO60" s="360"/>
    </row>
    <row r="61" spans="1:41" s="29" customFormat="1" ht="30" customHeight="1">
      <c r="A61" s="925"/>
      <c r="B61" s="926"/>
      <c r="C61" s="926"/>
      <c r="D61" s="926"/>
      <c r="E61" s="926"/>
      <c r="F61" s="926"/>
      <c r="G61" s="926"/>
      <c r="H61" s="926"/>
      <c r="I61" s="926"/>
      <c r="J61" s="926"/>
      <c r="K61" s="926"/>
      <c r="L61" s="926"/>
      <c r="M61" s="926"/>
      <c r="N61" s="926"/>
      <c r="O61" s="926"/>
      <c r="P61" s="928"/>
      <c r="Q61" s="929"/>
      <c r="R61" s="929"/>
      <c r="S61" s="929"/>
      <c r="T61" s="1805"/>
      <c r="U61" s="928"/>
      <c r="V61" s="929"/>
      <c r="W61" s="929"/>
      <c r="X61" s="929"/>
      <c r="Y61" s="929"/>
      <c r="Z61" s="1805"/>
      <c r="AA61" s="928"/>
      <c r="AB61" s="929"/>
      <c r="AC61" s="1805"/>
      <c r="AD61" s="928"/>
      <c r="AE61" s="929"/>
      <c r="AF61" s="929"/>
      <c r="AG61" s="929"/>
      <c r="AH61" s="929"/>
      <c r="AI61" s="929"/>
      <c r="AJ61" s="1805"/>
      <c r="AK61" s="947"/>
      <c r="AL61" s="948"/>
      <c r="AM61" s="360">
        <f t="shared" si="5"/>
        <v>0</v>
      </c>
      <c r="AN61" s="363">
        <f t="shared" si="6"/>
        <v>0</v>
      </c>
      <c r="AO61" s="360"/>
    </row>
    <row r="62" spans="1:41" s="29" customFormat="1" ht="30" customHeight="1">
      <c r="A62" s="925"/>
      <c r="B62" s="926"/>
      <c r="C62" s="926"/>
      <c r="D62" s="926"/>
      <c r="E62" s="926"/>
      <c r="F62" s="926"/>
      <c r="G62" s="926"/>
      <c r="H62" s="926"/>
      <c r="I62" s="926"/>
      <c r="J62" s="926"/>
      <c r="K62" s="926"/>
      <c r="L62" s="926"/>
      <c r="M62" s="926"/>
      <c r="N62" s="926"/>
      <c r="O62" s="926"/>
      <c r="P62" s="928"/>
      <c r="Q62" s="929"/>
      <c r="R62" s="929"/>
      <c r="S62" s="929"/>
      <c r="T62" s="1805"/>
      <c r="U62" s="928"/>
      <c r="V62" s="929"/>
      <c r="W62" s="929"/>
      <c r="X62" s="929"/>
      <c r="Y62" s="929"/>
      <c r="Z62" s="1805"/>
      <c r="AA62" s="928"/>
      <c r="AB62" s="929"/>
      <c r="AC62" s="1805"/>
      <c r="AD62" s="928"/>
      <c r="AE62" s="929"/>
      <c r="AF62" s="929"/>
      <c r="AG62" s="929"/>
      <c r="AH62" s="929"/>
      <c r="AI62" s="929"/>
      <c r="AJ62" s="1805"/>
      <c r="AK62" s="947"/>
      <c r="AL62" s="948"/>
      <c r="AM62" s="360">
        <f t="shared" si="5"/>
        <v>0</v>
      </c>
      <c r="AN62" s="363">
        <f t="shared" si="6"/>
        <v>0</v>
      </c>
      <c r="AO62" s="360"/>
    </row>
    <row r="63" spans="1:41" s="29" customFormat="1" ht="30" customHeight="1">
      <c r="A63" s="925"/>
      <c r="B63" s="926"/>
      <c r="C63" s="926"/>
      <c r="D63" s="926"/>
      <c r="E63" s="926"/>
      <c r="F63" s="926"/>
      <c r="G63" s="926"/>
      <c r="H63" s="926"/>
      <c r="I63" s="926"/>
      <c r="J63" s="926"/>
      <c r="K63" s="926"/>
      <c r="L63" s="926"/>
      <c r="M63" s="926"/>
      <c r="N63" s="926"/>
      <c r="O63" s="926"/>
      <c r="P63" s="928"/>
      <c r="Q63" s="929"/>
      <c r="R63" s="929"/>
      <c r="S63" s="929"/>
      <c r="T63" s="1805"/>
      <c r="U63" s="928"/>
      <c r="V63" s="929"/>
      <c r="W63" s="929"/>
      <c r="X63" s="929"/>
      <c r="Y63" s="929"/>
      <c r="Z63" s="1805"/>
      <c r="AA63" s="928"/>
      <c r="AB63" s="929"/>
      <c r="AC63" s="1805"/>
      <c r="AD63" s="928"/>
      <c r="AE63" s="929"/>
      <c r="AF63" s="929"/>
      <c r="AG63" s="929"/>
      <c r="AH63" s="929"/>
      <c r="AI63" s="929"/>
      <c r="AJ63" s="1805"/>
      <c r="AK63" s="947"/>
      <c r="AL63" s="948"/>
      <c r="AM63" s="360">
        <f t="shared" si="5"/>
        <v>0</v>
      </c>
      <c r="AN63" s="363">
        <f t="shared" si="6"/>
        <v>0</v>
      </c>
      <c r="AO63" s="360"/>
    </row>
    <row r="64" spans="1:41" s="30" customFormat="1" ht="60" customHeight="1">
      <c r="A64" s="925" t="s">
        <v>2179</v>
      </c>
      <c r="B64" s="926"/>
      <c r="C64" s="926"/>
      <c r="D64" s="926"/>
      <c r="E64" s="926"/>
      <c r="F64" s="926"/>
      <c r="G64" s="926"/>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1082"/>
    </row>
    <row r="65" spans="1:47" s="29" customFormat="1" ht="30" customHeight="1">
      <c r="A65" s="1837" t="s">
        <v>2180</v>
      </c>
      <c r="B65" s="1838"/>
      <c r="C65" s="1838"/>
      <c r="D65" s="1838"/>
      <c r="E65" s="1838"/>
      <c r="F65" s="1838"/>
      <c r="G65" s="1838"/>
      <c r="H65" s="1838"/>
      <c r="I65" s="1838"/>
      <c r="J65" s="1838"/>
      <c r="K65" s="1838"/>
      <c r="L65" s="1838"/>
      <c r="M65" s="1838"/>
      <c r="N65" s="1838"/>
      <c r="O65" s="1838"/>
      <c r="P65" s="1838"/>
      <c r="Q65" s="1838"/>
      <c r="R65" s="1838"/>
      <c r="S65" s="1838"/>
      <c r="T65" s="1838"/>
      <c r="U65" s="1838"/>
      <c r="V65" s="1838"/>
      <c r="W65" s="1838"/>
      <c r="X65" s="1838"/>
      <c r="Y65" s="1838"/>
      <c r="Z65" s="1838"/>
      <c r="AA65" s="1838"/>
      <c r="AB65" s="1838"/>
      <c r="AC65" s="1838"/>
      <c r="AD65" s="1838"/>
      <c r="AE65" s="1838"/>
      <c r="AF65" s="1838"/>
      <c r="AG65" s="1838"/>
      <c r="AH65" s="1838"/>
      <c r="AI65" s="1838"/>
      <c r="AJ65" s="1838"/>
      <c r="AK65" s="1841">
        <f>IF(AK66="Yes",15,0)</f>
        <v>0</v>
      </c>
      <c r="AL65" s="1842"/>
    </row>
    <row r="66" spans="1:47" s="29" customFormat="1" ht="15" customHeight="1" thickBot="1">
      <c r="A66" s="1834" t="s">
        <v>152</v>
      </c>
      <c r="B66" s="1835"/>
      <c r="C66" s="1836"/>
      <c r="D66" s="1855" t="s">
        <v>2181</v>
      </c>
      <c r="E66" s="1835"/>
      <c r="F66" s="1835"/>
      <c r="G66" s="1835"/>
      <c r="H66" s="1835"/>
      <c r="I66" s="1835"/>
      <c r="J66" s="1835"/>
      <c r="K66" s="1836"/>
      <c r="L66" s="1855" t="s">
        <v>2182</v>
      </c>
      <c r="M66" s="1835"/>
      <c r="N66" s="1835"/>
      <c r="O66" s="1835"/>
      <c r="P66" s="1835"/>
      <c r="Q66" s="1835"/>
      <c r="R66" s="1835"/>
      <c r="S66" s="1835"/>
      <c r="T66" s="1835"/>
      <c r="U66" s="1835"/>
      <c r="V66" s="1835"/>
      <c r="W66" s="1835"/>
      <c r="X66" s="1835"/>
      <c r="Y66" s="1835"/>
      <c r="Z66" s="1835"/>
      <c r="AA66" s="1835"/>
      <c r="AB66" s="1835"/>
      <c r="AC66" s="1835"/>
      <c r="AD66" s="1835"/>
      <c r="AE66" s="1835" t="s">
        <v>217</v>
      </c>
      <c r="AF66" s="1055" t="s">
        <v>112</v>
      </c>
      <c r="AG66" s="1056"/>
      <c r="AH66" s="1056"/>
      <c r="AI66" s="1056"/>
      <c r="AJ66" s="1057"/>
      <c r="AK66" s="1058"/>
      <c r="AL66" s="1059"/>
    </row>
    <row r="67" spans="1:47" ht="15" customHeight="1">
      <c r="A67" s="1826" t="s">
        <v>2183</v>
      </c>
      <c r="B67" s="1827"/>
      <c r="C67" s="1827"/>
      <c r="D67" s="1827"/>
      <c r="E67" s="1827"/>
      <c r="F67" s="1827"/>
      <c r="G67" s="1827"/>
      <c r="H67" s="1827"/>
      <c r="I67" s="1827"/>
      <c r="J67" s="1827"/>
      <c r="K67" s="1827"/>
      <c r="L67" s="1827"/>
      <c r="M67" s="1827"/>
      <c r="N67" s="1827"/>
      <c r="O67" s="1827"/>
      <c r="P67" s="1827"/>
      <c r="Q67" s="1827"/>
      <c r="R67" s="1827"/>
      <c r="S67" s="1827"/>
      <c r="T67" s="1827"/>
      <c r="U67" s="1827"/>
      <c r="V67" s="1827"/>
      <c r="W67" s="1827"/>
      <c r="X67" s="1827"/>
      <c r="Y67" s="1827"/>
      <c r="Z67" s="1827"/>
      <c r="AA67" s="1827"/>
      <c r="AB67" s="1827"/>
      <c r="AC67" s="1827"/>
      <c r="AD67" s="1827"/>
      <c r="AE67" s="1827"/>
      <c r="AF67" s="1827"/>
      <c r="AG67" s="1827"/>
      <c r="AH67" s="1827"/>
      <c r="AI67" s="1827"/>
      <c r="AJ67" s="1828"/>
      <c r="AK67" s="1829">
        <f>AK68+AK70</f>
        <v>0</v>
      </c>
      <c r="AL67" s="1830"/>
    </row>
    <row r="68" spans="1:47" ht="15" customHeight="1">
      <c r="A68" s="1786" t="s">
        <v>2184</v>
      </c>
      <c r="B68" s="1787"/>
      <c r="C68" s="1787"/>
      <c r="D68" s="1787"/>
      <c r="E68" s="1787"/>
      <c r="F68" s="1787"/>
      <c r="G68" s="1787"/>
      <c r="H68" s="1787"/>
      <c r="I68" s="1787"/>
      <c r="J68" s="1787"/>
      <c r="K68" s="1787"/>
      <c r="L68" s="1787"/>
      <c r="M68" s="1787"/>
      <c r="N68" s="1787"/>
      <c r="O68" s="1787"/>
      <c r="P68" s="1787"/>
      <c r="Q68" s="1787"/>
      <c r="R68" s="1787"/>
      <c r="S68" s="1787"/>
      <c r="T68" s="1787"/>
      <c r="U68" s="1787"/>
      <c r="V68" s="1787"/>
      <c r="W68" s="1787"/>
      <c r="X68" s="1787"/>
      <c r="Y68" s="1787"/>
      <c r="Z68" s="1787"/>
      <c r="AA68" s="1787"/>
      <c r="AB68" s="1787"/>
      <c r="AC68" s="1787"/>
      <c r="AD68" s="1787"/>
      <c r="AE68" s="1787"/>
      <c r="AF68" s="1787"/>
      <c r="AG68" s="1787"/>
      <c r="AH68" s="1787"/>
      <c r="AI68" s="1787"/>
      <c r="AJ68" s="1831"/>
      <c r="AK68" s="1832"/>
      <c r="AL68" s="1833"/>
    </row>
    <row r="69" spans="1:47" s="29" customFormat="1" ht="15" customHeight="1">
      <c r="A69" s="760" t="s">
        <v>152</v>
      </c>
      <c r="B69" s="761"/>
      <c r="C69" s="1818"/>
      <c r="D69" s="810" t="s">
        <v>2185</v>
      </c>
      <c r="E69" s="761"/>
      <c r="F69" s="761"/>
      <c r="G69" s="761"/>
      <c r="H69" s="761"/>
      <c r="I69" s="761"/>
      <c r="J69" s="761"/>
      <c r="K69" s="1818"/>
      <c r="L69" s="810" t="s">
        <v>2186</v>
      </c>
      <c r="M69" s="761"/>
      <c r="N69" s="761"/>
      <c r="O69" s="761"/>
      <c r="P69" s="761"/>
      <c r="Q69" s="761"/>
      <c r="R69" s="761"/>
      <c r="S69" s="761"/>
      <c r="T69" s="761"/>
      <c r="U69" s="761"/>
      <c r="V69" s="761"/>
      <c r="W69" s="761"/>
      <c r="X69" s="761"/>
      <c r="Y69" s="761"/>
      <c r="Z69" s="761"/>
      <c r="AA69" s="761"/>
      <c r="AB69" s="761"/>
      <c r="AC69" s="761"/>
      <c r="AD69" s="761"/>
      <c r="AE69" s="761" t="s">
        <v>217</v>
      </c>
      <c r="AF69" s="811" t="s">
        <v>112</v>
      </c>
      <c r="AG69" s="812"/>
      <c r="AH69" s="812"/>
      <c r="AI69" s="812"/>
      <c r="AJ69" s="1820"/>
      <c r="AK69" s="923"/>
      <c r="AL69" s="924"/>
    </row>
    <row r="70" spans="1:47" ht="15" customHeight="1">
      <c r="A70" s="1786" t="s">
        <v>2187</v>
      </c>
      <c r="B70" s="1787"/>
      <c r="C70" s="1787"/>
      <c r="D70" s="1787"/>
      <c r="E70" s="1787"/>
      <c r="F70" s="1787"/>
      <c r="G70" s="1787"/>
      <c r="H70" s="1787"/>
      <c r="I70" s="1787"/>
      <c r="J70" s="1787"/>
      <c r="K70" s="1787"/>
      <c r="L70" s="1787"/>
      <c r="M70" s="1787"/>
      <c r="N70" s="1787"/>
      <c r="O70" s="1787"/>
      <c r="P70" s="1787"/>
      <c r="Q70" s="1787"/>
      <c r="R70" s="1787"/>
      <c r="S70" s="1787"/>
      <c r="T70" s="1787"/>
      <c r="U70" s="1787"/>
      <c r="V70" s="1787"/>
      <c r="W70" s="1787"/>
      <c r="X70" s="1787"/>
      <c r="Y70" s="1787"/>
      <c r="Z70" s="1787"/>
      <c r="AA70" s="1787"/>
      <c r="AB70" s="1787"/>
      <c r="AC70" s="1787"/>
      <c r="AD70" s="1787"/>
      <c r="AE70" s="1787"/>
      <c r="AF70" s="1787"/>
      <c r="AG70" s="1787"/>
      <c r="AH70" s="1787"/>
      <c r="AI70" s="1787"/>
      <c r="AJ70" s="1831"/>
      <c r="AK70" s="1832"/>
      <c r="AL70" s="1833"/>
    </row>
    <row r="71" spans="1:47" s="29" customFormat="1" ht="75" customHeight="1" thickBot="1">
      <c r="A71" s="1834" t="s">
        <v>152</v>
      </c>
      <c r="B71" s="1835"/>
      <c r="C71" s="1836"/>
      <c r="D71" s="1855" t="s">
        <v>2188</v>
      </c>
      <c r="E71" s="1835"/>
      <c r="F71" s="1835"/>
      <c r="G71" s="1835"/>
      <c r="H71" s="1835"/>
      <c r="I71" s="1835"/>
      <c r="J71" s="1835"/>
      <c r="K71" s="1836"/>
      <c r="L71" s="1855" t="s">
        <v>2189</v>
      </c>
      <c r="M71" s="1835"/>
      <c r="N71" s="1835"/>
      <c r="O71" s="1835"/>
      <c r="P71" s="1835"/>
      <c r="Q71" s="1835"/>
      <c r="R71" s="1835"/>
      <c r="S71" s="1835"/>
      <c r="T71" s="1835"/>
      <c r="U71" s="1835"/>
      <c r="V71" s="1835"/>
      <c r="W71" s="1835"/>
      <c r="X71" s="1835"/>
      <c r="Y71" s="1835"/>
      <c r="Z71" s="1835"/>
      <c r="AA71" s="1835"/>
      <c r="AB71" s="1835"/>
      <c r="AC71" s="1835"/>
      <c r="AD71" s="1835"/>
      <c r="AE71" s="1836" t="s">
        <v>217</v>
      </c>
      <c r="AF71" s="1055" t="s">
        <v>112</v>
      </c>
      <c r="AG71" s="1056"/>
      <c r="AH71" s="1056"/>
      <c r="AI71" s="1056"/>
      <c r="AJ71" s="1057"/>
      <c r="AK71" s="1058"/>
      <c r="AL71" s="1059"/>
      <c r="AU71" s="404"/>
    </row>
    <row r="72" spans="1:47" s="23" customFormat="1" ht="15" customHeight="1">
      <c r="A72" s="1826" t="s">
        <v>2190</v>
      </c>
      <c r="B72" s="1827"/>
      <c r="C72" s="1827"/>
      <c r="D72" s="1827"/>
      <c r="E72" s="1827"/>
      <c r="F72" s="1827"/>
      <c r="G72" s="1827"/>
      <c r="H72" s="1827"/>
      <c r="I72" s="1827"/>
      <c r="J72" s="1827"/>
      <c r="K72" s="1827"/>
      <c r="L72" s="1827"/>
      <c r="M72" s="1827"/>
      <c r="N72" s="1827"/>
      <c r="O72" s="1827"/>
      <c r="P72" s="1827"/>
      <c r="Q72" s="1827"/>
      <c r="R72" s="1827"/>
      <c r="S72" s="1827"/>
      <c r="T72" s="1827"/>
      <c r="U72" s="1827"/>
      <c r="V72" s="1827"/>
      <c r="W72" s="1827"/>
      <c r="X72" s="1827"/>
      <c r="Y72" s="1827"/>
      <c r="Z72" s="1827"/>
      <c r="AA72" s="1827"/>
      <c r="AB72" s="1827"/>
      <c r="AC72" s="1827"/>
      <c r="AD72" s="1827"/>
      <c r="AE72" s="1827"/>
      <c r="AF72" s="1827"/>
      <c r="AG72" s="1827"/>
      <c r="AH72" s="1827"/>
      <c r="AI72" s="1827"/>
      <c r="AJ72" s="1828"/>
      <c r="AK72" s="1839">
        <f>SUM(AK73,AK74,AK75,AK76,AK79,AK80,AK83)</f>
        <v>0</v>
      </c>
      <c r="AL72" s="1840"/>
      <c r="AM72" s="369"/>
    </row>
    <row r="73" spans="1:47" ht="30" customHeight="1">
      <c r="A73" s="1773" t="s">
        <v>2191</v>
      </c>
      <c r="B73" s="1774"/>
      <c r="C73" s="1774"/>
      <c r="D73" s="1774"/>
      <c r="E73" s="1774"/>
      <c r="F73" s="1774"/>
      <c r="G73" s="1774"/>
      <c r="H73" s="1774"/>
      <c r="I73" s="1774"/>
      <c r="J73" s="1774"/>
      <c r="K73" s="1774"/>
      <c r="L73" s="1774"/>
      <c r="M73" s="1778"/>
      <c r="N73" s="1781" t="s">
        <v>2192</v>
      </c>
      <c r="O73" s="1782"/>
      <c r="P73" s="1782"/>
      <c r="Q73" s="1783"/>
      <c r="R73" s="1788">
        <f>'Award, Match, and Revenue'!R26</f>
        <v>0</v>
      </c>
      <c r="S73" s="1789"/>
      <c r="T73" s="1790"/>
      <c r="U73" s="1781" t="s">
        <v>2193</v>
      </c>
      <c r="V73" s="1782"/>
      <c r="W73" s="1782"/>
      <c r="X73" s="1783"/>
      <c r="Y73" s="1788">
        <f>'Award, Match, and Revenue'!S26</f>
        <v>0</v>
      </c>
      <c r="Z73" s="1789"/>
      <c r="AA73" s="1790"/>
      <c r="AB73" s="1781" t="s">
        <v>1817</v>
      </c>
      <c r="AC73" s="1782"/>
      <c r="AD73" s="1782"/>
      <c r="AE73" s="1782"/>
      <c r="AF73" s="1782"/>
      <c r="AG73" s="1783"/>
      <c r="AH73" s="1788">
        <f>'Award, Match, and Revenue'!T26</f>
        <v>0</v>
      </c>
      <c r="AI73" s="1789"/>
      <c r="AJ73" s="1790"/>
      <c r="AK73" s="1771">
        <f>IF(OR(R73&gt;=0.25,Y73&gt;=0.5,AH73&gt;=0.25),20,0)</f>
        <v>0</v>
      </c>
      <c r="AL73" s="1772"/>
      <c r="AM73" s="370"/>
    </row>
    <row r="74" spans="1:47" ht="45" customHeight="1">
      <c r="A74" s="1773" t="s">
        <v>2194</v>
      </c>
      <c r="B74" s="1774"/>
      <c r="C74" s="1774"/>
      <c r="D74" s="1774"/>
      <c r="E74" s="1774"/>
      <c r="F74" s="1774"/>
      <c r="G74" s="1778"/>
      <c r="H74" s="1823" t="s">
        <v>2195</v>
      </c>
      <c r="I74" s="1824"/>
      <c r="J74" s="1824"/>
      <c r="K74" s="1824"/>
      <c r="L74" s="1824"/>
      <c r="M74" s="1824"/>
      <c r="N74" s="1824"/>
      <c r="O74" s="1824"/>
      <c r="P74" s="1824"/>
      <c r="Q74" s="1824"/>
      <c r="R74" s="1825"/>
      <c r="S74" s="1788">
        <f>'Award, Match, and Revenue'!U43+'Award, Match, and Revenue'!U44+'Award, Match, and Revenue'!U45</f>
        <v>0</v>
      </c>
      <c r="T74" s="1789"/>
      <c r="U74" s="1790"/>
      <c r="V74" s="1781" t="s">
        <v>2196</v>
      </c>
      <c r="W74" s="1782"/>
      <c r="X74" s="1782"/>
      <c r="Y74" s="1782"/>
      <c r="Z74" s="1782"/>
      <c r="AA74" s="1782"/>
      <c r="AB74" s="1782"/>
      <c r="AC74" s="1782"/>
      <c r="AD74" s="1782"/>
      <c r="AE74" s="1782"/>
      <c r="AF74" s="1782"/>
      <c r="AG74" s="1783"/>
      <c r="AH74" s="1788">
        <f>'Award, Match, and Revenue'!U42+'Award, Match, and Revenue'!U43+'Award, Match, and Revenue'!U44+'Award, Match, and Revenue'!U45</f>
        <v>0</v>
      </c>
      <c r="AI74" s="1789"/>
      <c r="AJ74" s="1790"/>
      <c r="AK74" s="1771">
        <f>IF(AND(S74&gt;=0.25,AH74&gt;=0.5),10,0)</f>
        <v>0</v>
      </c>
      <c r="AL74" s="1772"/>
      <c r="AM74" s="369"/>
    </row>
    <row r="75" spans="1:47" ht="45" customHeight="1">
      <c r="A75" s="1786" t="s">
        <v>2197</v>
      </c>
      <c r="B75" s="1787"/>
      <c r="C75" s="1787"/>
      <c r="D75" s="1787"/>
      <c r="E75" s="1787"/>
      <c r="F75" s="1787"/>
      <c r="G75" s="1787"/>
      <c r="H75" s="1787"/>
      <c r="I75" s="1787"/>
      <c r="J75" s="1787"/>
      <c r="K75" s="1787"/>
      <c r="L75" s="1787"/>
      <c r="M75" s="1787"/>
      <c r="N75" s="1787"/>
      <c r="O75" s="1775"/>
      <c r="P75" s="1777"/>
      <c r="Q75" s="1885" t="s">
        <v>2198</v>
      </c>
      <c r="R75" s="1886"/>
      <c r="S75" s="1886"/>
      <c r="T75" s="1886"/>
      <c r="U75" s="1886"/>
      <c r="V75" s="1886"/>
      <c r="W75" s="1886"/>
      <c r="X75" s="1886"/>
      <c r="Y75" s="1886"/>
      <c r="Z75" s="1784"/>
      <c r="AA75" s="1785"/>
      <c r="AB75" s="1885" t="s">
        <v>2199</v>
      </c>
      <c r="AC75" s="1886"/>
      <c r="AD75" s="1886"/>
      <c r="AE75" s="1886"/>
      <c r="AF75" s="1886"/>
      <c r="AG75" s="1887"/>
      <c r="AH75" s="1788">
        <f>IFERROR(Z75/'Award, Match, and Revenue'!E25,0)</f>
        <v>0</v>
      </c>
      <c r="AI75" s="1789"/>
      <c r="AJ75" s="1790"/>
      <c r="AK75" s="1771">
        <f>IF(O75&lt;&gt;"Yes",0,IF(AH75=1,20,IF(AH75&gt;=0.75,15,IF(AH75&gt;=0.5,10,IF(AH75&gt;=0.25,5,0)))))</f>
        <v>0</v>
      </c>
      <c r="AL75" s="1772"/>
      <c r="AM75" s="24"/>
    </row>
    <row r="76" spans="1:47" ht="30" customHeight="1">
      <c r="A76" s="1773" t="s">
        <v>2200</v>
      </c>
      <c r="B76" s="1774"/>
      <c r="C76" s="1774"/>
      <c r="D76" s="1774"/>
      <c r="E76" s="1774"/>
      <c r="F76" s="1774"/>
      <c r="G76" s="1774"/>
      <c r="H76" s="1774"/>
      <c r="I76" s="1774"/>
      <c r="J76" s="1774"/>
      <c r="K76" s="1774"/>
      <c r="L76" s="1774"/>
      <c r="M76" s="1774"/>
      <c r="N76" s="1774"/>
      <c r="O76" s="1774"/>
      <c r="P76" s="1774"/>
      <c r="Q76" s="1774"/>
      <c r="R76" s="1781" t="s">
        <v>2201</v>
      </c>
      <c r="S76" s="1782"/>
      <c r="T76" s="1782"/>
      <c r="U76" s="1782"/>
      <c r="V76" s="1782"/>
      <c r="W76" s="1782"/>
      <c r="X76" s="1782"/>
      <c r="Y76" s="1782"/>
      <c r="Z76" s="1782"/>
      <c r="AA76" s="1782"/>
      <c r="AB76" s="1782"/>
      <c r="AC76" s="1782"/>
      <c r="AD76" s="1782"/>
      <c r="AE76" s="1782"/>
      <c r="AF76" s="1782"/>
      <c r="AG76" s="1783"/>
      <c r="AH76" s="1888">
        <f>'Award, Match, and Revenue'!E25</f>
        <v>0</v>
      </c>
      <c r="AI76" s="1889"/>
      <c r="AJ76" s="1890"/>
      <c r="AK76" s="1771">
        <f>IF(AH76&lt;20,0,AK77+AK78)</f>
        <v>0</v>
      </c>
      <c r="AL76" s="1772"/>
      <c r="AM76" s="371"/>
    </row>
    <row r="77" spans="1:47" ht="30" customHeight="1">
      <c r="A77" s="1881" t="s">
        <v>2202</v>
      </c>
      <c r="B77" s="1882"/>
      <c r="C77" s="1882"/>
      <c r="D77" s="1882"/>
      <c r="E77" s="1882"/>
      <c r="F77" s="1882"/>
      <c r="G77" s="1882"/>
      <c r="H77" s="1882"/>
      <c r="I77" s="1882"/>
      <c r="J77" s="1882"/>
      <c r="K77" s="1882"/>
      <c r="L77" s="1882"/>
      <c r="M77" s="1882"/>
      <c r="N77" s="1882"/>
      <c r="O77" s="1882"/>
      <c r="P77" s="1882"/>
      <c r="Q77" s="1882"/>
      <c r="R77" s="1882"/>
      <c r="S77" s="1882"/>
      <c r="T77" s="1882"/>
      <c r="U77" s="1883"/>
      <c r="V77" s="1884"/>
      <c r="W77" s="1800" t="s">
        <v>2203</v>
      </c>
      <c r="X77" s="1801"/>
      <c r="Y77" s="1801"/>
      <c r="Z77" s="1801"/>
      <c r="AA77" s="1801"/>
      <c r="AB77" s="1801"/>
      <c r="AC77" s="1801"/>
      <c r="AD77" s="1801"/>
      <c r="AE77" s="1801"/>
      <c r="AF77" s="1801"/>
      <c r="AG77" s="1802"/>
      <c r="AH77" s="1797">
        <f>IFERROR(U77/$AH$76,0)</f>
        <v>0</v>
      </c>
      <c r="AI77" s="1798"/>
      <c r="AJ77" s="1799"/>
      <c r="AK77" s="1879">
        <f>IF(AND('Award, Match, and Revenue'!E25&gt;=20,AH77&gt;=0.15),5,0)</f>
        <v>0</v>
      </c>
      <c r="AL77" s="1880"/>
      <c r="AM77" s="371"/>
    </row>
    <row r="78" spans="1:47" ht="30" customHeight="1">
      <c r="A78" s="1881" t="s">
        <v>2204</v>
      </c>
      <c r="B78" s="1882"/>
      <c r="C78" s="1882"/>
      <c r="D78" s="1882"/>
      <c r="E78" s="1882"/>
      <c r="F78" s="1882"/>
      <c r="G78" s="1882"/>
      <c r="H78" s="1882"/>
      <c r="I78" s="1882"/>
      <c r="J78" s="1882"/>
      <c r="K78" s="1882"/>
      <c r="L78" s="1882"/>
      <c r="M78" s="1882"/>
      <c r="N78" s="1882"/>
      <c r="O78" s="1882"/>
      <c r="P78" s="1882"/>
      <c r="Q78" s="1882"/>
      <c r="R78" s="1882"/>
      <c r="S78" s="1882"/>
      <c r="T78" s="1882"/>
      <c r="U78" s="1883"/>
      <c r="V78" s="1884"/>
      <c r="W78" s="1800" t="s">
        <v>2205</v>
      </c>
      <c r="X78" s="1801"/>
      <c r="Y78" s="1801"/>
      <c r="Z78" s="1801"/>
      <c r="AA78" s="1801"/>
      <c r="AB78" s="1801"/>
      <c r="AC78" s="1801"/>
      <c r="AD78" s="1801"/>
      <c r="AE78" s="1801"/>
      <c r="AF78" s="1801"/>
      <c r="AG78" s="1802"/>
      <c r="AH78" s="1797">
        <f>IFERROR(U78/$AH$76,0)</f>
        <v>0</v>
      </c>
      <c r="AI78" s="1798"/>
      <c r="AJ78" s="1799"/>
      <c r="AK78" s="1879">
        <f>IF(AND('Award, Match, and Revenue'!E25&gt;=20,AH78&gt;=0.1),5,0)</f>
        <v>0</v>
      </c>
      <c r="AL78" s="1880"/>
      <c r="AM78" s="371"/>
    </row>
    <row r="79" spans="1:47" ht="30" customHeight="1">
      <c r="A79" s="1773" t="s">
        <v>2206</v>
      </c>
      <c r="B79" s="1774"/>
      <c r="C79" s="1774"/>
      <c r="D79" s="1774"/>
      <c r="E79" s="1774"/>
      <c r="F79" s="1774"/>
      <c r="G79" s="1774"/>
      <c r="H79" s="1774"/>
      <c r="I79" s="1774"/>
      <c r="J79" s="1774"/>
      <c r="K79" s="1774"/>
      <c r="L79" s="1774"/>
      <c r="M79" s="1774"/>
      <c r="N79" s="1774"/>
      <c r="O79" s="1774"/>
      <c r="P79" s="1774"/>
      <c r="Q79" s="1774"/>
      <c r="R79" s="1774"/>
      <c r="S79" s="1774"/>
      <c r="T79" s="1774"/>
      <c r="U79" s="1774"/>
      <c r="V79" s="1774"/>
      <c r="W79" s="1774"/>
      <c r="X79" s="1774"/>
      <c r="Y79" s="1774"/>
      <c r="Z79" s="1774"/>
      <c r="AA79" s="1774"/>
      <c r="AB79" s="1774"/>
      <c r="AC79" s="1774"/>
      <c r="AD79" s="1774"/>
      <c r="AE79" s="1774"/>
      <c r="AF79" s="1774"/>
      <c r="AG79" s="1774"/>
      <c r="AH79" s="1775"/>
      <c r="AI79" s="1776"/>
      <c r="AJ79" s="1777"/>
      <c r="AK79" s="1771">
        <f>IF(AH79="Yes",10,0)</f>
        <v>0</v>
      </c>
      <c r="AL79" s="1772"/>
      <c r="AM79" s="371"/>
      <c r="AN79" s="372"/>
    </row>
    <row r="80" spans="1:47" ht="15" customHeight="1">
      <c r="A80" s="1773" t="s">
        <v>2207</v>
      </c>
      <c r="B80" s="1774"/>
      <c r="C80" s="1774"/>
      <c r="D80" s="1774"/>
      <c r="E80" s="1774"/>
      <c r="F80" s="1774"/>
      <c r="G80" s="1774"/>
      <c r="H80" s="1774"/>
      <c r="I80" s="1774"/>
      <c r="J80" s="1774"/>
      <c r="K80" s="1774"/>
      <c r="L80" s="1774"/>
      <c r="M80" s="1774"/>
      <c r="N80" s="1774"/>
      <c r="O80" s="1774"/>
      <c r="P80" s="1774"/>
      <c r="Q80" s="1774"/>
      <c r="R80" s="1774"/>
      <c r="S80" s="1774"/>
      <c r="T80" s="1774"/>
      <c r="U80" s="1774"/>
      <c r="V80" s="1774"/>
      <c r="W80" s="1774"/>
      <c r="X80" s="1774"/>
      <c r="Y80" s="1774"/>
      <c r="Z80" s="1774"/>
      <c r="AA80" s="1774"/>
      <c r="AB80" s="1774"/>
      <c r="AC80" s="1774"/>
      <c r="AD80" s="1774"/>
      <c r="AE80" s="1774"/>
      <c r="AF80" s="1774"/>
      <c r="AG80" s="1774"/>
      <c r="AH80" s="1774"/>
      <c r="AI80" s="1774"/>
      <c r="AJ80" s="1778"/>
      <c r="AK80" s="1771">
        <f>MAX(AK81,AK82)</f>
        <v>0</v>
      </c>
      <c r="AL80" s="1772"/>
      <c r="AM80" s="371"/>
      <c r="AN80" s="372"/>
    </row>
    <row r="81" spans="1:40" ht="75" customHeight="1">
      <c r="A81" s="1773" t="s">
        <v>2208</v>
      </c>
      <c r="B81" s="1774"/>
      <c r="C81" s="1774"/>
      <c r="D81" s="1774"/>
      <c r="E81" s="1774"/>
      <c r="F81" s="1774"/>
      <c r="G81" s="1774"/>
      <c r="H81" s="1781" t="s">
        <v>2209</v>
      </c>
      <c r="I81" s="1782"/>
      <c r="J81" s="1782"/>
      <c r="K81" s="1782"/>
      <c r="L81" s="1782"/>
      <c r="M81" s="1791">
        <f>'Dev Budget'!L126-Overview!AI18</f>
        <v>0</v>
      </c>
      <c r="N81" s="1792"/>
      <c r="O81" s="1792"/>
      <c r="P81" s="1781" t="s">
        <v>2210</v>
      </c>
      <c r="Q81" s="1782"/>
      <c r="R81" s="1782"/>
      <c r="S81" s="1782"/>
      <c r="T81" s="1783"/>
      <c r="U81" s="1791">
        <f>'Award, Match, and Revenue'!AI25</f>
        <v>0</v>
      </c>
      <c r="V81" s="1792"/>
      <c r="W81" s="1793"/>
      <c r="X81" s="1794" t="s">
        <v>2211</v>
      </c>
      <c r="Y81" s="1795"/>
      <c r="Z81" s="1796"/>
      <c r="AA81" s="1791">
        <f>MAX(0,M81-U81)</f>
        <v>0</v>
      </c>
      <c r="AB81" s="1792"/>
      <c r="AC81" s="1793"/>
      <c r="AD81" s="1781" t="s">
        <v>2212</v>
      </c>
      <c r="AE81" s="1782"/>
      <c r="AF81" s="1782"/>
      <c r="AG81" s="1783"/>
      <c r="AH81" s="1768">
        <f>MAX(0,MIN(10,ROUNDDOWN(AA81/10000,0)))</f>
        <v>0</v>
      </c>
      <c r="AI81" s="1769"/>
      <c r="AJ81" s="1770"/>
      <c r="AK81" s="1779">
        <f>MIN(10,AH81)</f>
        <v>0</v>
      </c>
      <c r="AL81" s="1780"/>
      <c r="AM81" s="371"/>
      <c r="AN81" s="372"/>
    </row>
    <row r="82" spans="1:40" ht="75" customHeight="1">
      <c r="A82" s="1773" t="s">
        <v>2213</v>
      </c>
      <c r="B82" s="1774"/>
      <c r="C82" s="1774"/>
      <c r="D82" s="1774"/>
      <c r="E82" s="1774"/>
      <c r="F82" s="1774"/>
      <c r="G82" s="1774"/>
      <c r="H82" s="1781" t="s">
        <v>2214</v>
      </c>
      <c r="I82" s="1782"/>
      <c r="J82" s="1782"/>
      <c r="K82" s="1782"/>
      <c r="L82" s="1783"/>
      <c r="M82" s="1791">
        <f>IFERROR('Award, Match, and Revenue'!X25/'Award, Match, and Revenue'!U25,0)</f>
        <v>0</v>
      </c>
      <c r="N82" s="1792"/>
      <c r="O82" s="1793"/>
      <c r="P82" s="1781" t="s">
        <v>2215</v>
      </c>
      <c r="Q82" s="1782"/>
      <c r="R82" s="1782"/>
      <c r="S82" s="1782"/>
      <c r="T82" s="1782"/>
      <c r="U82" s="1791">
        <f>IFERROR('Award, Match, and Revenue'!AC25/'Award, Match, and Revenue'!U25,0)</f>
        <v>0</v>
      </c>
      <c r="V82" s="1792"/>
      <c r="W82" s="1792"/>
      <c r="X82" s="1794" t="s">
        <v>2211</v>
      </c>
      <c r="Y82" s="1795"/>
      <c r="Z82" s="1796"/>
      <c r="AA82" s="1791">
        <f>MAX(0,M82-U82)</f>
        <v>0</v>
      </c>
      <c r="AB82" s="1792"/>
      <c r="AC82" s="1793"/>
      <c r="AD82" s="1781" t="s">
        <v>2212</v>
      </c>
      <c r="AE82" s="1782"/>
      <c r="AF82" s="1782"/>
      <c r="AG82" s="1783"/>
      <c r="AH82" s="1768">
        <f>MAX(0,MIN(10,ROUNDDOWN(AA82/10000,0)))</f>
        <v>0</v>
      </c>
      <c r="AI82" s="1769"/>
      <c r="AJ82" s="1770"/>
      <c r="AK82" s="1779">
        <f>MIN(10,AH82)</f>
        <v>0</v>
      </c>
      <c r="AL82" s="1780"/>
      <c r="AM82" s="371"/>
      <c r="AN82" s="372"/>
    </row>
    <row r="83" spans="1:40" ht="15" customHeight="1">
      <c r="A83" s="1773" t="s">
        <v>2216</v>
      </c>
      <c r="B83" s="1774"/>
      <c r="C83" s="1774"/>
      <c r="D83" s="1774"/>
      <c r="E83" s="1774"/>
      <c r="F83" s="1774"/>
      <c r="G83" s="1774"/>
      <c r="H83" s="1774"/>
      <c r="I83" s="1774"/>
      <c r="J83" s="1774"/>
      <c r="K83" s="1774"/>
      <c r="L83" s="1774"/>
      <c r="M83" s="1774"/>
      <c r="N83" s="1774"/>
      <c r="O83" s="1774"/>
      <c r="P83" s="1774"/>
      <c r="Q83" s="1774"/>
      <c r="R83" s="1774"/>
      <c r="S83" s="1774"/>
      <c r="T83" s="1774"/>
      <c r="U83" s="1774"/>
      <c r="V83" s="1774"/>
      <c r="W83" s="1774"/>
      <c r="X83" s="1774"/>
      <c r="Y83" s="1774"/>
      <c r="Z83" s="1774"/>
      <c r="AA83" s="1774"/>
      <c r="AB83" s="1774"/>
      <c r="AC83" s="1774"/>
      <c r="AD83" s="1774"/>
      <c r="AE83" s="1774"/>
      <c r="AF83" s="1774"/>
      <c r="AG83" s="1774"/>
      <c r="AH83" s="1774"/>
      <c r="AI83" s="1774"/>
      <c r="AJ83" s="1778"/>
      <c r="AK83" s="1771">
        <f>SUM(AK85:AL90)</f>
        <v>0</v>
      </c>
      <c r="AL83" s="1772"/>
      <c r="AM83" s="24"/>
      <c r="AN83" s="372"/>
    </row>
    <row r="84" spans="1:40" s="24" customFormat="1" ht="15" customHeight="1">
      <c r="A84" s="1083" t="s">
        <v>152</v>
      </c>
      <c r="B84" s="1084"/>
      <c r="C84" s="1084"/>
      <c r="D84" s="1085" t="s">
        <v>2217</v>
      </c>
      <c r="E84" s="1086"/>
      <c r="F84" s="1086"/>
      <c r="G84" s="1086"/>
      <c r="H84" s="1086"/>
      <c r="I84" s="1086"/>
      <c r="J84" s="1086"/>
      <c r="K84" s="1899"/>
      <c r="L84" s="1088" t="s">
        <v>2218</v>
      </c>
      <c r="M84" s="1089"/>
      <c r="N84" s="1089"/>
      <c r="O84" s="1089"/>
      <c r="P84" s="1089"/>
      <c r="Q84" s="1089"/>
      <c r="R84" s="1089"/>
      <c r="S84" s="1089"/>
      <c r="T84" s="1089"/>
      <c r="U84" s="1089"/>
      <c r="V84" s="1089"/>
      <c r="W84" s="1089"/>
      <c r="X84" s="1089"/>
      <c r="Y84" s="1089"/>
      <c r="Z84" s="1089"/>
      <c r="AA84" s="1089"/>
      <c r="AB84" s="1089"/>
      <c r="AC84" s="1089"/>
      <c r="AD84" s="1089"/>
      <c r="AE84" s="1900"/>
      <c r="AF84" s="811" t="s">
        <v>112</v>
      </c>
      <c r="AG84" s="812"/>
      <c r="AH84" s="812"/>
      <c r="AI84" s="812"/>
      <c r="AJ84" s="1820"/>
      <c r="AK84" s="1904"/>
      <c r="AL84" s="924"/>
      <c r="AM84" s="23"/>
    </row>
    <row r="85" spans="1:40" ht="45" customHeight="1">
      <c r="A85" s="1786" t="s">
        <v>2219</v>
      </c>
      <c r="B85" s="1787"/>
      <c r="C85" s="1787"/>
      <c r="D85" s="1787"/>
      <c r="E85" s="1787"/>
      <c r="F85" s="1787"/>
      <c r="G85" s="1787"/>
      <c r="H85" s="1787"/>
      <c r="I85" s="1787"/>
      <c r="J85" s="1787"/>
      <c r="K85" s="1787"/>
      <c r="L85" s="1787"/>
      <c r="M85" s="1787"/>
      <c r="N85" s="1787"/>
      <c r="O85" s="1787"/>
      <c r="P85" s="1787"/>
      <c r="Q85" s="1787"/>
      <c r="R85" s="1787"/>
      <c r="S85" s="1787"/>
      <c r="T85" s="1787"/>
      <c r="U85" s="1787"/>
      <c r="V85" s="1787"/>
      <c r="W85" s="1787"/>
      <c r="X85" s="1787"/>
      <c r="Y85" s="1787"/>
      <c r="Z85" s="1787"/>
      <c r="AA85" s="1787"/>
      <c r="AB85" s="1787"/>
      <c r="AC85" s="1787"/>
      <c r="AD85" s="1787"/>
      <c r="AE85" s="1787"/>
      <c r="AF85" s="1787"/>
      <c r="AG85" s="1787"/>
      <c r="AH85" s="1831"/>
      <c r="AI85" s="1896"/>
      <c r="AJ85" s="1896"/>
      <c r="AK85" s="1897">
        <f>IF(AI85="Yes",4,0)</f>
        <v>0</v>
      </c>
      <c r="AL85" s="1898"/>
      <c r="AM85" s="373"/>
      <c r="AN85" s="372"/>
    </row>
    <row r="86" spans="1:40" ht="30" customHeight="1">
      <c r="A86" s="1786" t="s">
        <v>2220</v>
      </c>
      <c r="B86" s="1787"/>
      <c r="C86" s="1787"/>
      <c r="D86" s="1787"/>
      <c r="E86" s="1787"/>
      <c r="F86" s="1787"/>
      <c r="G86" s="1787"/>
      <c r="H86" s="1787"/>
      <c r="I86" s="1787"/>
      <c r="J86" s="1787"/>
      <c r="K86" s="1787"/>
      <c r="L86" s="1787"/>
      <c r="M86" s="1787"/>
      <c r="N86" s="1787"/>
      <c r="O86" s="1787"/>
      <c r="P86" s="1787"/>
      <c r="Q86" s="1787"/>
      <c r="R86" s="1787"/>
      <c r="S86" s="1787"/>
      <c r="T86" s="1787"/>
      <c r="U86" s="1787"/>
      <c r="V86" s="1787"/>
      <c r="W86" s="1787"/>
      <c r="X86" s="1787"/>
      <c r="Y86" s="1787"/>
      <c r="Z86" s="1787"/>
      <c r="AA86" s="1787"/>
      <c r="AB86" s="1787"/>
      <c r="AC86" s="1787"/>
      <c r="AD86" s="1787"/>
      <c r="AE86" s="1787"/>
      <c r="AF86" s="1787"/>
      <c r="AG86" s="1787"/>
      <c r="AH86" s="1831"/>
      <c r="AI86" s="1896"/>
      <c r="AJ86" s="1896"/>
      <c r="AK86" s="1897">
        <f>IF(AI86="Yes",2,0)</f>
        <v>0</v>
      </c>
      <c r="AL86" s="1898"/>
      <c r="AM86" s="373"/>
      <c r="AN86" s="372"/>
    </row>
    <row r="87" spans="1:40" ht="45" customHeight="1">
      <c r="A87" s="1786" t="s">
        <v>2221</v>
      </c>
      <c r="B87" s="1787"/>
      <c r="C87" s="1787"/>
      <c r="D87" s="1787"/>
      <c r="E87" s="1787"/>
      <c r="F87" s="1787"/>
      <c r="G87" s="1787"/>
      <c r="H87" s="1787"/>
      <c r="I87" s="1787"/>
      <c r="J87" s="1787"/>
      <c r="K87" s="1787"/>
      <c r="L87" s="1787"/>
      <c r="M87" s="1787"/>
      <c r="N87" s="1787"/>
      <c r="O87" s="1787"/>
      <c r="P87" s="1787"/>
      <c r="Q87" s="1787"/>
      <c r="R87" s="1787"/>
      <c r="S87" s="1787"/>
      <c r="T87" s="1787"/>
      <c r="U87" s="1787"/>
      <c r="V87" s="1787"/>
      <c r="W87" s="1787"/>
      <c r="X87" s="1787"/>
      <c r="Y87" s="1787"/>
      <c r="Z87" s="1787"/>
      <c r="AA87" s="1787"/>
      <c r="AB87" s="1787"/>
      <c r="AC87" s="1787"/>
      <c r="AD87" s="1787"/>
      <c r="AE87" s="1787"/>
      <c r="AF87" s="1787"/>
      <c r="AG87" s="1787"/>
      <c r="AH87" s="1831"/>
      <c r="AI87" s="1896"/>
      <c r="AJ87" s="1896"/>
      <c r="AK87" s="1897">
        <f>IF(AI87="Yes",1,0)</f>
        <v>0</v>
      </c>
      <c r="AL87" s="1898"/>
      <c r="AM87" s="373"/>
      <c r="AN87" s="372"/>
    </row>
    <row r="88" spans="1:40" ht="15" customHeight="1">
      <c r="A88" s="1786" t="s">
        <v>2222</v>
      </c>
      <c r="B88" s="1787"/>
      <c r="C88" s="1787"/>
      <c r="D88" s="1787"/>
      <c r="E88" s="1787"/>
      <c r="F88" s="1787"/>
      <c r="G88" s="1787"/>
      <c r="H88" s="1787"/>
      <c r="I88" s="1787"/>
      <c r="J88" s="1787"/>
      <c r="K88" s="1787"/>
      <c r="L88" s="1787"/>
      <c r="M88" s="1787"/>
      <c r="N88" s="1787"/>
      <c r="O88" s="1787"/>
      <c r="P88" s="1787"/>
      <c r="Q88" s="1787"/>
      <c r="R88" s="1787"/>
      <c r="S88" s="1787"/>
      <c r="T88" s="1787"/>
      <c r="U88" s="1787"/>
      <c r="V88" s="1787"/>
      <c r="W88" s="1787"/>
      <c r="X88" s="1787"/>
      <c r="Y88" s="1787"/>
      <c r="Z88" s="1787"/>
      <c r="AA88" s="1787"/>
      <c r="AB88" s="1787"/>
      <c r="AC88" s="1787"/>
      <c r="AD88" s="1787"/>
      <c r="AE88" s="1787"/>
      <c r="AF88" s="1787"/>
      <c r="AG88" s="1787"/>
      <c r="AH88" s="1831"/>
      <c r="AI88" s="1896"/>
      <c r="AJ88" s="1896"/>
      <c r="AK88" s="1897">
        <f>IF(AI88="Yes",1,0)</f>
        <v>0</v>
      </c>
      <c r="AL88" s="1898"/>
      <c r="AM88" s="373"/>
      <c r="AN88" s="372"/>
    </row>
    <row r="89" spans="1:40" ht="15" customHeight="1">
      <c r="A89" s="1786" t="s">
        <v>2223</v>
      </c>
      <c r="B89" s="1787"/>
      <c r="C89" s="1787"/>
      <c r="D89" s="1787"/>
      <c r="E89" s="1787"/>
      <c r="F89" s="1787"/>
      <c r="G89" s="1787"/>
      <c r="H89" s="1787"/>
      <c r="I89" s="1787"/>
      <c r="J89" s="1787"/>
      <c r="K89" s="1787"/>
      <c r="L89" s="1787"/>
      <c r="M89" s="1787"/>
      <c r="N89" s="1787"/>
      <c r="O89" s="1787"/>
      <c r="P89" s="1787"/>
      <c r="Q89" s="1787"/>
      <c r="R89" s="1787"/>
      <c r="S89" s="1787"/>
      <c r="T89" s="1787"/>
      <c r="U89" s="1787"/>
      <c r="V89" s="1787"/>
      <c r="W89" s="1787"/>
      <c r="X89" s="1787"/>
      <c r="Y89" s="1787"/>
      <c r="Z89" s="1787"/>
      <c r="AA89" s="1787"/>
      <c r="AB89" s="1787"/>
      <c r="AC89" s="1787"/>
      <c r="AD89" s="1787"/>
      <c r="AE89" s="1787"/>
      <c r="AF89" s="1787"/>
      <c r="AG89" s="1787"/>
      <c r="AH89" s="1831"/>
      <c r="AI89" s="1896"/>
      <c r="AJ89" s="1896"/>
      <c r="AK89" s="1897">
        <f>IF(AI89="Yes",2,0)</f>
        <v>0</v>
      </c>
      <c r="AL89" s="1898"/>
      <c r="AM89" s="373"/>
      <c r="AN89" s="372"/>
    </row>
    <row r="90" spans="1:40" ht="45" customHeight="1" thickBot="1">
      <c r="A90" s="1905" t="s">
        <v>2224</v>
      </c>
      <c r="B90" s="1906"/>
      <c r="C90" s="1906"/>
      <c r="D90" s="1906"/>
      <c r="E90" s="1906"/>
      <c r="F90" s="1906"/>
      <c r="G90" s="1906"/>
      <c r="H90" s="1906"/>
      <c r="I90" s="1906"/>
      <c r="J90" s="1906"/>
      <c r="K90" s="1906"/>
      <c r="L90" s="1906"/>
      <c r="M90" s="1906"/>
      <c r="N90" s="1906"/>
      <c r="O90" s="1906"/>
      <c r="P90" s="1906"/>
      <c r="Q90" s="1906"/>
      <c r="R90" s="1906"/>
      <c r="S90" s="1906"/>
      <c r="T90" s="1906"/>
      <c r="U90" s="1906"/>
      <c r="V90" s="1906"/>
      <c r="W90" s="1906"/>
      <c r="X90" s="1906"/>
      <c r="Y90" s="1906"/>
      <c r="Z90" s="1906"/>
      <c r="AA90" s="1906"/>
      <c r="AB90" s="1906"/>
      <c r="AC90" s="1906"/>
      <c r="AD90" s="1906"/>
      <c r="AE90" s="1906"/>
      <c r="AF90" s="1906"/>
      <c r="AG90" s="1906"/>
      <c r="AH90" s="1907"/>
      <c r="AI90" s="1908"/>
      <c r="AJ90" s="1908"/>
      <c r="AK90" s="1909">
        <f>IF(AI90="Yes",2,0)</f>
        <v>0</v>
      </c>
      <c r="AL90" s="1910"/>
      <c r="AM90" s="373"/>
      <c r="AN90" s="372"/>
    </row>
    <row r="91" spans="1:40" ht="15" customHeight="1">
      <c r="A91" s="1911" t="s">
        <v>2225</v>
      </c>
      <c r="B91" s="1912"/>
      <c r="C91" s="1912"/>
      <c r="D91" s="1912"/>
      <c r="E91" s="1912"/>
      <c r="F91" s="1912"/>
      <c r="G91" s="1912"/>
      <c r="H91" s="1912"/>
      <c r="I91" s="1912"/>
      <c r="J91" s="1912"/>
      <c r="K91" s="1912"/>
      <c r="L91" s="1912"/>
      <c r="M91" s="1912"/>
      <c r="N91" s="1912"/>
      <c r="O91" s="1912"/>
      <c r="P91" s="1912"/>
      <c r="Q91" s="1912"/>
      <c r="R91" s="1912"/>
      <c r="S91" s="1912"/>
      <c r="T91" s="1912"/>
      <c r="U91" s="1912"/>
      <c r="V91" s="1912"/>
      <c r="W91" s="1912"/>
      <c r="X91" s="1912"/>
      <c r="Y91" s="1912"/>
      <c r="Z91" s="1912"/>
      <c r="AA91" s="1912"/>
      <c r="AB91" s="1912"/>
      <c r="AC91" s="1912"/>
      <c r="AD91" s="1912"/>
      <c r="AE91" s="1912"/>
      <c r="AF91" s="1912"/>
      <c r="AG91" s="1912"/>
      <c r="AH91" s="1912"/>
      <c r="AI91" s="1912"/>
      <c r="AJ91" s="1912"/>
      <c r="AK91" s="1912"/>
      <c r="AL91" s="1913"/>
    </row>
    <row r="92" spans="1:40" ht="15" customHeight="1">
      <c r="A92" s="1914" t="s">
        <v>2226</v>
      </c>
      <c r="B92" s="1915"/>
      <c r="C92" s="1915"/>
      <c r="D92" s="1915"/>
      <c r="E92" s="1915"/>
      <c r="F92" s="1915"/>
      <c r="G92" s="1915"/>
      <c r="H92" s="1915"/>
      <c r="I92" s="1915"/>
      <c r="J92" s="1915"/>
      <c r="K92" s="1915"/>
      <c r="L92" s="1915"/>
      <c r="M92" s="1915"/>
      <c r="N92" s="1915"/>
      <c r="O92" s="1915"/>
      <c r="P92" s="1915"/>
      <c r="Q92" s="1915"/>
      <c r="R92" s="1915"/>
      <c r="S92" s="1915"/>
      <c r="T92" s="1915"/>
      <c r="U92" s="1915"/>
      <c r="V92" s="1915"/>
      <c r="W92" s="1915"/>
      <c r="X92" s="1915"/>
      <c r="Y92" s="1915"/>
      <c r="Z92" s="1915"/>
      <c r="AA92" s="1915"/>
      <c r="AB92" s="1915"/>
      <c r="AC92" s="1915"/>
      <c r="AD92" s="1915"/>
      <c r="AE92" s="1915"/>
      <c r="AF92" s="1915"/>
      <c r="AG92" s="1915"/>
      <c r="AH92" s="1915"/>
      <c r="AI92" s="1915"/>
      <c r="AJ92" s="1915"/>
      <c r="AK92" s="1915"/>
      <c r="AL92" s="1916"/>
      <c r="AM92" s="374"/>
    </row>
    <row r="93" spans="1:40" ht="30" customHeight="1">
      <c r="A93" s="1917" t="s">
        <v>2227</v>
      </c>
      <c r="B93" s="1787"/>
      <c r="C93" s="1787"/>
      <c r="D93" s="1787"/>
      <c r="E93" s="1787"/>
      <c r="F93" s="1787"/>
      <c r="G93" s="1787"/>
      <c r="H93" s="1781" t="s">
        <v>2228</v>
      </c>
      <c r="I93" s="1782"/>
      <c r="J93" s="1782"/>
      <c r="K93" s="1782"/>
      <c r="L93" s="1783"/>
      <c r="M93" s="1918">
        <f>'Award, Match, and Revenue'!B25</f>
        <v>0</v>
      </c>
      <c r="N93" s="1919"/>
      <c r="O93" s="1920" t="s">
        <v>2229</v>
      </c>
      <c r="P93" s="1921"/>
      <c r="Q93" s="1921"/>
      <c r="R93" s="1921"/>
      <c r="S93" s="1921"/>
      <c r="T93" s="1921"/>
      <c r="U93" s="1922"/>
      <c r="V93" s="1784"/>
      <c r="W93" s="1785"/>
      <c r="X93" s="1923" t="s">
        <v>2230</v>
      </c>
      <c r="Y93" s="1924"/>
      <c r="Z93" s="1924"/>
      <c r="AA93" s="1924"/>
      <c r="AB93" s="1924"/>
      <c r="AC93" s="1924"/>
      <c r="AD93" s="1924"/>
      <c r="AE93" s="1924"/>
      <c r="AF93" s="1924"/>
      <c r="AG93" s="1925"/>
      <c r="AH93" s="1891">
        <f>IFERROR(V93/M93,0)</f>
        <v>0</v>
      </c>
      <c r="AI93" s="1892"/>
      <c r="AJ93" s="1893"/>
      <c r="AK93" s="1894">
        <f>IF(AH93&lt;0.05,0,MAX(-20,-AH93*100))</f>
        <v>0</v>
      </c>
      <c r="AL93" s="1895"/>
      <c r="AM93" s="374"/>
    </row>
    <row r="94" spans="1:40" ht="45" customHeight="1" thickBot="1">
      <c r="A94" s="1901" t="s">
        <v>2231</v>
      </c>
      <c r="B94" s="1902"/>
      <c r="C94" s="1902"/>
      <c r="D94" s="1902"/>
      <c r="E94" s="1902"/>
      <c r="F94" s="1902"/>
      <c r="G94" s="1902"/>
      <c r="H94" s="1902"/>
      <c r="I94" s="1902"/>
      <c r="J94" s="1902"/>
      <c r="K94" s="1902"/>
      <c r="L94" s="1902"/>
      <c r="M94" s="1902"/>
      <c r="N94" s="1902"/>
      <c r="O94" s="1902"/>
      <c r="P94" s="1902"/>
      <c r="Q94" s="1902"/>
      <c r="R94" s="1902"/>
      <c r="S94" s="1902"/>
      <c r="T94" s="1902"/>
      <c r="U94" s="1902"/>
      <c r="V94" s="1902"/>
      <c r="W94" s="1902"/>
      <c r="X94" s="1902"/>
      <c r="Y94" s="1902"/>
      <c r="Z94" s="1902"/>
      <c r="AA94" s="1902"/>
      <c r="AB94" s="1902"/>
      <c r="AC94" s="1902"/>
      <c r="AD94" s="1902"/>
      <c r="AE94" s="1902"/>
      <c r="AF94" s="1902"/>
      <c r="AG94" s="1902"/>
      <c r="AH94" s="1902"/>
      <c r="AI94" s="1902"/>
      <c r="AJ94" s="1902"/>
      <c r="AK94" s="1902"/>
      <c r="AL94" s="1903"/>
      <c r="AM94" s="374"/>
    </row>
  </sheetData>
  <sheetProtection algorithmName="SHA-512" hashValue="Gao681v/afSbbyTYXJaoOWHRD6jk3HItUwL+3z3kYJrZHDOcE01HIdrHp+Zq2mUVlXMLEmLq2D85BHXK1aW9eg==" saltValue="vX1hhiGlRWqzp02lseVJZw==" spinCount="100000" sheet="1" formatRows="0"/>
  <mergeCells count="371">
    <mergeCell ref="AK61:AL61"/>
    <mergeCell ref="AK62:AL62"/>
    <mergeCell ref="AK63:AL63"/>
    <mergeCell ref="P63:T63"/>
    <mergeCell ref="A63:O63"/>
    <mergeCell ref="AA55:AC55"/>
    <mergeCell ref="AA56:AC56"/>
    <mergeCell ref="AA57:AC57"/>
    <mergeCell ref="AA58:AC58"/>
    <mergeCell ref="P55:T55"/>
    <mergeCell ref="AK52:AL52"/>
    <mergeCell ref="AK53:AL53"/>
    <mergeCell ref="AK54:AL54"/>
    <mergeCell ref="AK55:AL55"/>
    <mergeCell ref="AK56:AL56"/>
    <mergeCell ref="AK57:AL57"/>
    <mergeCell ref="AK58:AL58"/>
    <mergeCell ref="AK59:AL59"/>
    <mergeCell ref="AK60:AL60"/>
    <mergeCell ref="AK16:AL16"/>
    <mergeCell ref="A20:AJ20"/>
    <mergeCell ref="AK20:AL20"/>
    <mergeCell ref="A21:AJ21"/>
    <mergeCell ref="AK21:AL21"/>
    <mergeCell ref="A22:AJ22"/>
    <mergeCell ref="AK22:AL22"/>
    <mergeCell ref="A18:AJ18"/>
    <mergeCell ref="AK18:AL18"/>
    <mergeCell ref="A17:AJ17"/>
    <mergeCell ref="AK17:AL17"/>
    <mergeCell ref="A19:AJ19"/>
    <mergeCell ref="AK19:AL19"/>
    <mergeCell ref="AK39:AL39"/>
    <mergeCell ref="AK38:AL38"/>
    <mergeCell ref="A26:AJ26"/>
    <mergeCell ref="AK26:AL26"/>
    <mergeCell ref="A27:AJ27"/>
    <mergeCell ref="AA59:AC59"/>
    <mergeCell ref="AA60:AC60"/>
    <mergeCell ref="AA61:AC61"/>
    <mergeCell ref="AK27:AL27"/>
    <mergeCell ref="U54:Z54"/>
    <mergeCell ref="AD54:AJ54"/>
    <mergeCell ref="A54:O54"/>
    <mergeCell ref="AK51:AL51"/>
    <mergeCell ref="AA51:AC51"/>
    <mergeCell ref="AA52:AC52"/>
    <mergeCell ref="AA53:AC53"/>
    <mergeCell ref="AA54:AC54"/>
    <mergeCell ref="AF50:AG50"/>
    <mergeCell ref="AH50:AJ50"/>
    <mergeCell ref="AK50:AL50"/>
    <mergeCell ref="A50:AE50"/>
    <mergeCell ref="AD51:AJ51"/>
    <mergeCell ref="AD52:AJ52"/>
    <mergeCell ref="AD53:AJ53"/>
    <mergeCell ref="A52:O52"/>
    <mergeCell ref="A53:O53"/>
    <mergeCell ref="U51:Z51"/>
    <mergeCell ref="U52:Z52"/>
    <mergeCell ref="U53:Z53"/>
    <mergeCell ref="U62:Z62"/>
    <mergeCell ref="AD62:AJ62"/>
    <mergeCell ref="A61:O61"/>
    <mergeCell ref="A62:O62"/>
    <mergeCell ref="P61:T61"/>
    <mergeCell ref="P58:T58"/>
    <mergeCell ref="U61:Z61"/>
    <mergeCell ref="AD61:AJ61"/>
    <mergeCell ref="P62:T62"/>
    <mergeCell ref="A59:O59"/>
    <mergeCell ref="A60:O60"/>
    <mergeCell ref="A94:AL94"/>
    <mergeCell ref="AK84:AL84"/>
    <mergeCell ref="A89:AH89"/>
    <mergeCell ref="AI89:AJ89"/>
    <mergeCell ref="AK89:AL89"/>
    <mergeCell ref="A90:AH90"/>
    <mergeCell ref="AI90:AJ90"/>
    <mergeCell ref="AK90:AL90"/>
    <mergeCell ref="A86:AH86"/>
    <mergeCell ref="AI86:AJ86"/>
    <mergeCell ref="AK86:AL86"/>
    <mergeCell ref="A87:AH87"/>
    <mergeCell ref="AI87:AJ87"/>
    <mergeCell ref="AK87:AL87"/>
    <mergeCell ref="A88:AH88"/>
    <mergeCell ref="AI88:AJ88"/>
    <mergeCell ref="AK88:AL88"/>
    <mergeCell ref="A91:AL91"/>
    <mergeCell ref="A92:AL92"/>
    <mergeCell ref="A93:G93"/>
    <mergeCell ref="H93:L93"/>
    <mergeCell ref="M93:N93"/>
    <mergeCell ref="O93:U93"/>
    <mergeCell ref="X93:AG93"/>
    <mergeCell ref="AH93:AJ93"/>
    <mergeCell ref="AK93:AL93"/>
    <mergeCell ref="A83:AJ83"/>
    <mergeCell ref="AK83:AL83"/>
    <mergeCell ref="A85:AH85"/>
    <mergeCell ref="AI85:AJ85"/>
    <mergeCell ref="AK85:AL85"/>
    <mergeCell ref="A84:C84"/>
    <mergeCell ref="D84:K84"/>
    <mergeCell ref="L84:AE84"/>
    <mergeCell ref="AF84:AJ84"/>
    <mergeCell ref="V93:W93"/>
    <mergeCell ref="AK73:AL73"/>
    <mergeCell ref="AK74:AL74"/>
    <mergeCell ref="AK75:AL75"/>
    <mergeCell ref="AK76:AL76"/>
    <mergeCell ref="AK78:AL78"/>
    <mergeCell ref="AK79:AL79"/>
    <mergeCell ref="AK77:AL77"/>
    <mergeCell ref="A77:T77"/>
    <mergeCell ref="U77:V77"/>
    <mergeCell ref="A78:T78"/>
    <mergeCell ref="U78:V78"/>
    <mergeCell ref="Q75:Y75"/>
    <mergeCell ref="AB75:AG75"/>
    <mergeCell ref="N73:Q73"/>
    <mergeCell ref="AB73:AG73"/>
    <mergeCell ref="A73:M73"/>
    <mergeCell ref="A76:Q76"/>
    <mergeCell ref="AH76:AJ76"/>
    <mergeCell ref="R76:AG76"/>
    <mergeCell ref="H74:R74"/>
    <mergeCell ref="AH74:AJ74"/>
    <mergeCell ref="V74:AG74"/>
    <mergeCell ref="A74:G74"/>
    <mergeCell ref="AH75:AJ75"/>
    <mergeCell ref="AK14:AL14"/>
    <mergeCell ref="A15:AJ15"/>
    <mergeCell ref="AK15:AL15"/>
    <mergeCell ref="A16:AJ16"/>
    <mergeCell ref="D66:K66"/>
    <mergeCell ref="L66:AE66"/>
    <mergeCell ref="AF66:AJ66"/>
    <mergeCell ref="A71:C71"/>
    <mergeCell ref="D71:K71"/>
    <mergeCell ref="L71:AE71"/>
    <mergeCell ref="AF71:AJ71"/>
    <mergeCell ref="A49:P49"/>
    <mergeCell ref="Q49:U49"/>
    <mergeCell ref="V49:Y49"/>
    <mergeCell ref="Z49:AB49"/>
    <mergeCell ref="AC49:AI49"/>
    <mergeCell ref="AJ49:AL49"/>
    <mergeCell ref="AA62:AC62"/>
    <mergeCell ref="AA63:AC63"/>
    <mergeCell ref="P51:T51"/>
    <mergeCell ref="P52:T52"/>
    <mergeCell ref="P53:T53"/>
    <mergeCell ref="P54:T54"/>
    <mergeCell ref="A51:O51"/>
    <mergeCell ref="L33:AE33"/>
    <mergeCell ref="AF33:AJ33"/>
    <mergeCell ref="AK28:AL28"/>
    <mergeCell ref="AK33:AL33"/>
    <mergeCell ref="A10:AJ10"/>
    <mergeCell ref="AK10:AL10"/>
    <mergeCell ref="AK11:AL11"/>
    <mergeCell ref="AK12:AL12"/>
    <mergeCell ref="AE28:AF28"/>
    <mergeCell ref="W28:X28"/>
    <mergeCell ref="AA28:AD28"/>
    <mergeCell ref="U28:V28"/>
    <mergeCell ref="Y28:Z28"/>
    <mergeCell ref="R28:T28"/>
    <mergeCell ref="A28:Q28"/>
    <mergeCell ref="A23:AJ23"/>
    <mergeCell ref="AK23:AL23"/>
    <mergeCell ref="A24:AJ24"/>
    <mergeCell ref="AK24:AL24"/>
    <mergeCell ref="A25:AJ25"/>
    <mergeCell ref="AK25:AL25"/>
    <mergeCell ref="A13:AJ13"/>
    <mergeCell ref="AK13:AL13"/>
    <mergeCell ref="A14:AJ14"/>
    <mergeCell ref="A36:C36"/>
    <mergeCell ref="D36:K36"/>
    <mergeCell ref="L36:AE36"/>
    <mergeCell ref="AF36:AJ36"/>
    <mergeCell ref="AK36:AL36"/>
    <mergeCell ref="A1:AI1"/>
    <mergeCell ref="AJ1:AL1"/>
    <mergeCell ref="AK2:AL2"/>
    <mergeCell ref="A3:AJ3"/>
    <mergeCell ref="AK3:AL3"/>
    <mergeCell ref="AK4:AL4"/>
    <mergeCell ref="A4:AJ4"/>
    <mergeCell ref="A5:AL5"/>
    <mergeCell ref="A6:AJ6"/>
    <mergeCell ref="A7:AJ7"/>
    <mergeCell ref="A8:AJ8"/>
    <mergeCell ref="A9:AJ9"/>
    <mergeCell ref="AK6:AL6"/>
    <mergeCell ref="AK7:AL7"/>
    <mergeCell ref="AK8:AL8"/>
    <mergeCell ref="AK9:AL9"/>
    <mergeCell ref="A11:AJ11"/>
    <mergeCell ref="A12:AJ12"/>
    <mergeCell ref="D33:K33"/>
    <mergeCell ref="AK71:AL71"/>
    <mergeCell ref="A72:AJ72"/>
    <mergeCell ref="AK72:AL72"/>
    <mergeCell ref="AK65:AL65"/>
    <mergeCell ref="AK37:AL37"/>
    <mergeCell ref="A37:AJ37"/>
    <mergeCell ref="AK34:AL34"/>
    <mergeCell ref="A35:C35"/>
    <mergeCell ref="D35:K35"/>
    <mergeCell ref="L35:AE35"/>
    <mergeCell ref="AF35:AJ35"/>
    <mergeCell ref="AK35:AL35"/>
    <mergeCell ref="V44:Y44"/>
    <mergeCell ref="Z44:AB44"/>
    <mergeCell ref="AC44:AI44"/>
    <mergeCell ref="AH39:AJ39"/>
    <mergeCell ref="A39:AG39"/>
    <mergeCell ref="A38:AJ38"/>
    <mergeCell ref="A42:AG42"/>
    <mergeCell ref="AJ44:AL44"/>
    <mergeCell ref="AC43:AI43"/>
    <mergeCell ref="AJ43:AL43"/>
    <mergeCell ref="A44:P44"/>
    <mergeCell ref="Q44:U44"/>
    <mergeCell ref="A70:AJ70"/>
    <mergeCell ref="AK70:AL70"/>
    <mergeCell ref="AK69:AL69"/>
    <mergeCell ref="AK68:AL68"/>
    <mergeCell ref="A68:AJ68"/>
    <mergeCell ref="A69:C69"/>
    <mergeCell ref="U63:Z63"/>
    <mergeCell ref="AF69:AJ69"/>
    <mergeCell ref="AK66:AL66"/>
    <mergeCell ref="A66:C66"/>
    <mergeCell ref="A65:AJ65"/>
    <mergeCell ref="AJ48:AL48"/>
    <mergeCell ref="A47:P47"/>
    <mergeCell ref="Q47:U47"/>
    <mergeCell ref="AK46:AL46"/>
    <mergeCell ref="D69:K69"/>
    <mergeCell ref="L69:AE69"/>
    <mergeCell ref="AD57:AJ57"/>
    <mergeCell ref="U58:Z58"/>
    <mergeCell ref="AD58:AJ58"/>
    <mergeCell ref="U55:Z55"/>
    <mergeCell ref="AD55:AJ55"/>
    <mergeCell ref="U56:Z56"/>
    <mergeCell ref="AD56:AJ56"/>
    <mergeCell ref="U57:Z57"/>
    <mergeCell ref="A55:O55"/>
    <mergeCell ref="A56:O56"/>
    <mergeCell ref="A57:O57"/>
    <mergeCell ref="A58:O58"/>
    <mergeCell ref="P56:T56"/>
    <mergeCell ref="P57:T57"/>
    <mergeCell ref="A64:AL64"/>
    <mergeCell ref="AD63:AJ63"/>
    <mergeCell ref="A67:AJ67"/>
    <mergeCell ref="AK67:AL67"/>
    <mergeCell ref="AG28:AI28"/>
    <mergeCell ref="A34:C34"/>
    <mergeCell ref="D34:K34"/>
    <mergeCell ref="L34:AE34"/>
    <mergeCell ref="AF34:AJ34"/>
    <mergeCell ref="AK29:AL29"/>
    <mergeCell ref="Y29:Z29"/>
    <mergeCell ref="Y30:Z30"/>
    <mergeCell ref="AK30:AL30"/>
    <mergeCell ref="Y32:Z32"/>
    <mergeCell ref="AK32:AL32"/>
    <mergeCell ref="A33:C33"/>
    <mergeCell ref="AA29:AJ29"/>
    <mergeCell ref="AK31:AL31"/>
    <mergeCell ref="A29:E29"/>
    <mergeCell ref="A30:E30"/>
    <mergeCell ref="A31:E31"/>
    <mergeCell ref="A32:E32"/>
    <mergeCell ref="F29:S29"/>
    <mergeCell ref="F30:S30"/>
    <mergeCell ref="F31:S31"/>
    <mergeCell ref="F32:S32"/>
    <mergeCell ref="AA30:AJ30"/>
    <mergeCell ref="AA31:AJ31"/>
    <mergeCell ref="Z2:AJ2"/>
    <mergeCell ref="A2:Y2"/>
    <mergeCell ref="A45:P45"/>
    <mergeCell ref="Q45:U45"/>
    <mergeCell ref="V45:Y45"/>
    <mergeCell ref="Z45:AB45"/>
    <mergeCell ref="AC45:AI45"/>
    <mergeCell ref="AJ45:AL45"/>
    <mergeCell ref="A40:P40"/>
    <mergeCell ref="Q40:U40"/>
    <mergeCell ref="V40:Y40"/>
    <mergeCell ref="Z40:AB40"/>
    <mergeCell ref="AC40:AI40"/>
    <mergeCell ref="AJ40:AL40"/>
    <mergeCell ref="A41:P41"/>
    <mergeCell ref="Q41:U41"/>
    <mergeCell ref="V41:Y41"/>
    <mergeCell ref="Z41:AB41"/>
    <mergeCell ref="AC41:AI41"/>
    <mergeCell ref="AJ41:AL41"/>
    <mergeCell ref="AK42:AL42"/>
    <mergeCell ref="AH42:AJ42"/>
    <mergeCell ref="A43:P43"/>
    <mergeCell ref="Q43:U43"/>
    <mergeCell ref="AA32:AJ32"/>
    <mergeCell ref="T29:X29"/>
    <mergeCell ref="T30:X30"/>
    <mergeCell ref="T31:X31"/>
    <mergeCell ref="T32:X32"/>
    <mergeCell ref="U59:Z59"/>
    <mergeCell ref="AD59:AJ59"/>
    <mergeCell ref="U60:Z60"/>
    <mergeCell ref="AD60:AJ60"/>
    <mergeCell ref="P59:T59"/>
    <mergeCell ref="P60:T60"/>
    <mergeCell ref="Y31:Z31"/>
    <mergeCell ref="V43:Y43"/>
    <mergeCell ref="Z43:AB43"/>
    <mergeCell ref="A46:AJ46"/>
    <mergeCell ref="V47:Y47"/>
    <mergeCell ref="Z47:AB47"/>
    <mergeCell ref="AC47:AI47"/>
    <mergeCell ref="AJ47:AL47"/>
    <mergeCell ref="A48:P48"/>
    <mergeCell ref="Q48:U48"/>
    <mergeCell ref="V48:Y48"/>
    <mergeCell ref="Z48:AB48"/>
    <mergeCell ref="AC48:AI48"/>
    <mergeCell ref="U73:X73"/>
    <mergeCell ref="O75:P75"/>
    <mergeCell ref="Z75:AA75"/>
    <mergeCell ref="A75:N75"/>
    <mergeCell ref="R73:T73"/>
    <mergeCell ref="Y73:AA73"/>
    <mergeCell ref="AH73:AJ73"/>
    <mergeCell ref="S74:U74"/>
    <mergeCell ref="A82:G82"/>
    <mergeCell ref="P82:T82"/>
    <mergeCell ref="U82:W82"/>
    <mergeCell ref="H82:L82"/>
    <mergeCell ref="M82:O82"/>
    <mergeCell ref="X82:Z82"/>
    <mergeCell ref="AA82:AC82"/>
    <mergeCell ref="AD82:AG82"/>
    <mergeCell ref="AH77:AJ77"/>
    <mergeCell ref="W77:AG77"/>
    <mergeCell ref="W78:AG78"/>
    <mergeCell ref="AH78:AJ78"/>
    <mergeCell ref="M81:O81"/>
    <mergeCell ref="X81:Z81"/>
    <mergeCell ref="AA81:AC81"/>
    <mergeCell ref="U81:W81"/>
    <mergeCell ref="AH82:AJ82"/>
    <mergeCell ref="AK80:AL80"/>
    <mergeCell ref="A79:AG79"/>
    <mergeCell ref="AH79:AJ79"/>
    <mergeCell ref="A80:AJ80"/>
    <mergeCell ref="AK81:AL81"/>
    <mergeCell ref="A81:G81"/>
    <mergeCell ref="P81:T81"/>
    <mergeCell ref="H81:L81"/>
    <mergeCell ref="AD81:AG81"/>
    <mergeCell ref="AH81:AJ81"/>
    <mergeCell ref="AK82:AL82"/>
  </mergeCells>
  <conditionalFormatting sqref="AK66">
    <cfRule type="cellIs" dxfId="23" priority="18" operator="equal">
      <formula>"No"</formula>
    </cfRule>
  </conditionalFormatting>
  <conditionalFormatting sqref="AK66">
    <cfRule type="cellIs" dxfId="22" priority="17" operator="equal">
      <formula>"No"</formula>
    </cfRule>
  </conditionalFormatting>
  <conditionalFormatting sqref="AK84">
    <cfRule type="cellIs" dxfId="21" priority="3" operator="equal">
      <formula>"No"</formula>
    </cfRule>
  </conditionalFormatting>
  <conditionalFormatting sqref="AK2:AL2">
    <cfRule type="cellIs" dxfId="20" priority="2" operator="between">
      <formula>1</formula>
      <formula>119</formula>
    </cfRule>
  </conditionalFormatting>
  <conditionalFormatting sqref="AK33:AK36">
    <cfRule type="cellIs" dxfId="19" priority="1" operator="equal">
      <formula>"No"</formula>
    </cfRule>
  </conditionalFormatting>
  <dataValidations xWindow="1259" yWindow="756" count="7">
    <dataValidation type="list" allowBlank="1" showInputMessage="1" showErrorMessage="1" sqref="AK71 AK66 AK69" xr:uid="{5FE75876-00B3-41B3-BB0A-4B8FD1F43085}">
      <formula1>"Yes, No"</formula1>
    </dataValidation>
    <dataValidation type="list" allowBlank="1" showInputMessage="1" showErrorMessage="1" sqref="AH79 AH39 AK84:AL84 AI85:AI90 O75:P75" xr:uid="{031E4753-6E79-4631-A2F2-2C15C0DFF1B0}">
      <formula1>"Yes,No"</formula1>
    </dataValidation>
    <dataValidation type="list" allowBlank="1" showInputMessage="1" showErrorMessage="1" sqref="Z41 Z47:Z49 Z44:Z45 AA52:AA63" xr:uid="{A52A002F-9C4B-4614-9574-BE621CE86176}">
      <formula1>"Affordable Rental,Interim Housing"</formula1>
    </dataValidation>
    <dataValidation type="list" allowBlank="1" showInputMessage="1" showErrorMessage="1" sqref="Y29:Z32 AK33:AL36" xr:uid="{440EB6BD-ED98-4E35-A51F-7E99498AE4B1}">
      <formula1>"Yes,No,N/A"</formula1>
    </dataValidation>
    <dataValidation type="list" allowBlank="1" showInputMessage="1" showErrorMessage="1" sqref="V41:Y41 V44:Y45 V47:Y49" xr:uid="{A490C383-F320-4F81-8683-9F27A5EE9CD0}">
      <formula1>"Developed,Owned,Operated"</formula1>
    </dataValidation>
    <dataValidation type="list" allowBlank="1" sqref="U52:Z63" xr:uid="{FB8A27C1-8535-4D12-998F-26BA61C97FAC}">
      <formula1>"Applicant,Developer,Property Manager,Lead Service Provider"</formula1>
    </dataValidation>
    <dataValidation type="whole" operator="greaterThanOrEqual" allowBlank="1" showInputMessage="1" showErrorMessage="1" promptTitle="Assisted Units waiving the right" prompt="Enter the number of Assisted units that you elect to waive the right to increase income levels per section 303(ii)." sqref="Z75:AA75" xr:uid="{55DE2486-82B3-4641-81FA-5E6C2E224A8F}">
      <formula1>0</formula1>
    </dataValidation>
  </dataValidations>
  <printOptions horizontalCentered="1"/>
  <pageMargins left="0.25" right="0.25" top="0.5" bottom="0.3" header="0" footer="0"/>
  <pageSetup scale="65" fitToHeight="3" orientation="portrait" r:id="rId1"/>
  <headerFooter scaleWithDoc="0" alignWithMargins="0">
    <oddFooter>&amp;L&amp;9Homekey Round 2&amp;C&amp;9Page &amp;P of &amp;N&amp;R&amp;"Arial,Italic"&amp;9&amp;A</oddFooter>
  </headerFooter>
  <legacyDrawing r:id="rId2"/>
  <extLst>
    <ext xmlns:x14="http://schemas.microsoft.com/office/spreadsheetml/2009/9/main" uri="{CCE6A557-97BC-4b89-ADB6-D9C93CAAB3DF}">
      <x14:dataValidations xmlns:xm="http://schemas.microsoft.com/office/excel/2006/main" xWindow="1259" yWindow="756" count="6">
        <x14:dataValidation type="list" allowBlank="1" showInputMessage="1" showErrorMessage="1" xr:uid="{8EFF4E8D-D639-4709-ACF2-A9BCB5EAE3E3}">
          <x14:formula1>
            <xm:f>'Drop Down'!$J$2:$J$5</xm:f>
          </x14:formula1>
          <xm:sqref>AC41:AI41 AD52:AJ63 AC44:AI45 AC47:AI49</xm:sqref>
        </x14:dataValidation>
        <x14:dataValidation type="list" allowBlank="1" showInputMessage="1" showErrorMessage="1" xr:uid="{32AF07BF-E0BE-4EDE-8C13-214179B141A5}">
          <x14:formula1>
            <xm:f>Threshold!$AN$50:$AN$52</xm:f>
          </x14:formula1>
          <xm:sqref>Q41:U41 P52:T63 Q47:U49 Q44:U45</xm:sqref>
        </x14:dataValidation>
        <x14:dataValidation type="custom" allowBlank="1" showInputMessage="1" showErrorMessage="1" promptTitle="Cannot exceed Assisted Units" prompt="Cannot exceed amount of Assisted Units in cell U25 of 'Award, Match, Revenue' worksheet." xr:uid="{D05AEBC1-7ADF-4180-916F-158C1D9A4544}">
          <x14:formula1>
            <xm:f>AK29&lt;='Award, Match, and Revenue'!AT25</xm:f>
          </x14:formula1>
          <xm:sqref>AK29:AL29</xm:sqref>
        </x14:dataValidation>
        <x14:dataValidation type="custom" allowBlank="1" showInputMessage="1" showErrorMessage="1" promptTitle="Cannot exceed Assisted Units" prompt="Cannot exceed amount of Assisted Units in cell U25 of 'Award, Match, Revenue' worksheet." xr:uid="{BA692FFA-7E33-476A-AB8F-ABBAFB67C6F2}">
          <x14:formula1>
            <xm:f>AK30&lt;='Award, Match, and Revenue'!AT25</xm:f>
          </x14:formula1>
          <xm:sqref>AK30:AL30</xm:sqref>
        </x14:dataValidation>
        <x14:dataValidation type="custom" allowBlank="1" showInputMessage="1" showErrorMessage="1" promptTitle="Cannot exceed Assisted Units" prompt="Cannot exceed amount of Assisted Units in cell U25 of 'Award, Match, Revenue' worksheet." xr:uid="{DCD03CFF-1DD4-43E8-931B-AAE90642D259}">
          <x14:formula1>
            <xm:f>AK31&lt;='Award, Match, and Revenue'!AT25</xm:f>
          </x14:formula1>
          <xm:sqref>AK31:AL31</xm:sqref>
        </x14:dataValidation>
        <x14:dataValidation type="custom" allowBlank="1" showInputMessage="1" showErrorMessage="1" promptTitle="Cannot exceed Assisted Units" prompt="Cannot exceed amount of Assisted Units in cell U25 of 'Award, Match, Revenue' worksheet." xr:uid="{DD54E724-9E04-49F8-8F3D-AEFA535C4D2D}">
          <x14:formula1>
            <xm:f>AK32&lt;='Award, Match, and Revenue'!AT25</xm:f>
          </x14:formula1>
          <xm:sqref>AK32:AL32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C00000"/>
    <pageSetUpPr fitToPage="1"/>
  </sheetPr>
  <dimension ref="A1:AO36"/>
  <sheetViews>
    <sheetView showGridLines="0" workbookViewId="0">
      <selection activeCell="D3" sqref="D3:AB3"/>
    </sheetView>
  </sheetViews>
  <sheetFormatPr defaultColWidth="9.1796875" defaultRowHeight="14.5"/>
  <cols>
    <col min="1" max="38" width="4.1796875" style="14" customWidth="1"/>
    <col min="39" max="40" width="9.1796875" style="14"/>
    <col min="41" max="41" width="9.1796875" style="14" hidden="1" customWidth="1"/>
    <col min="42" max="16384" width="9.1796875" style="14"/>
  </cols>
  <sheetData>
    <row r="1" spans="1:41" s="13" customFormat="1" ht="18" customHeight="1">
      <c r="A1" s="1977" t="s">
        <v>2232</v>
      </c>
      <c r="B1" s="1978"/>
      <c r="C1" s="1978"/>
      <c r="D1" s="1978"/>
      <c r="E1" s="1978"/>
      <c r="F1" s="1978"/>
      <c r="G1" s="1978"/>
      <c r="H1" s="1978"/>
      <c r="I1" s="1978"/>
      <c r="J1" s="1978"/>
      <c r="K1" s="1978"/>
      <c r="L1" s="1978"/>
      <c r="M1" s="1978"/>
      <c r="N1" s="1978"/>
      <c r="O1" s="1978"/>
      <c r="P1" s="1978"/>
      <c r="Q1" s="1978"/>
      <c r="R1" s="1978"/>
      <c r="S1" s="1978"/>
      <c r="T1" s="1978"/>
      <c r="U1" s="1978"/>
      <c r="V1" s="1978"/>
      <c r="W1" s="1978"/>
      <c r="X1" s="1978"/>
      <c r="Y1" s="1978"/>
      <c r="Z1" s="1978"/>
      <c r="AA1" s="1978"/>
      <c r="AB1" s="1978"/>
      <c r="AC1" s="1978"/>
      <c r="AD1" s="1978"/>
      <c r="AE1" s="1978"/>
      <c r="AF1" s="1978"/>
      <c r="AG1" s="1978"/>
      <c r="AH1" s="1978"/>
      <c r="AI1" s="1978"/>
      <c r="AJ1" s="1979">
        <f>CoverPage!B11</f>
        <v>44471</v>
      </c>
      <c r="AK1" s="1980"/>
      <c r="AL1" s="1981"/>
    </row>
    <row r="2" spans="1:41" s="13" customFormat="1" ht="15" customHeight="1">
      <c r="A2" s="1982" t="s">
        <v>2233</v>
      </c>
      <c r="B2" s="1983"/>
      <c r="C2" s="1983"/>
      <c r="D2" s="1983"/>
      <c r="E2" s="1983"/>
      <c r="F2" s="1983"/>
      <c r="G2" s="1983"/>
      <c r="H2" s="1983"/>
      <c r="I2" s="1983"/>
      <c r="J2" s="1983"/>
      <c r="K2" s="1983"/>
      <c r="L2" s="1983"/>
      <c r="M2" s="1983"/>
      <c r="N2" s="1983"/>
      <c r="O2" s="1983"/>
      <c r="P2" s="1983"/>
      <c r="Q2" s="1983"/>
      <c r="R2" s="1983"/>
      <c r="S2" s="1983"/>
      <c r="T2" s="1983"/>
      <c r="U2" s="1983"/>
      <c r="V2" s="1983"/>
      <c r="W2" s="1983"/>
      <c r="X2" s="1983"/>
      <c r="Y2" s="1983"/>
      <c r="Z2" s="1983"/>
      <c r="AA2" s="1983"/>
      <c r="AB2" s="1983"/>
      <c r="AC2" s="1983"/>
      <c r="AD2" s="1983"/>
      <c r="AE2" s="1983"/>
      <c r="AF2" s="1983"/>
      <c r="AG2" s="1983"/>
      <c r="AH2" s="1983"/>
      <c r="AI2" s="1983"/>
      <c r="AJ2" s="1983"/>
      <c r="AK2" s="1983"/>
      <c r="AL2" s="1984"/>
    </row>
    <row r="3" spans="1:41" s="13" customFormat="1" ht="15" customHeight="1" thickBot="1">
      <c r="A3" s="1985" t="s">
        <v>2234</v>
      </c>
      <c r="B3" s="1986"/>
      <c r="C3" s="1987"/>
      <c r="D3" s="1994"/>
      <c r="E3" s="1995"/>
      <c r="F3" s="1995"/>
      <c r="G3" s="1995"/>
      <c r="H3" s="1995"/>
      <c r="I3" s="1995"/>
      <c r="J3" s="1995"/>
      <c r="K3" s="1995"/>
      <c r="L3" s="1995"/>
      <c r="M3" s="1995"/>
      <c r="N3" s="1995"/>
      <c r="O3" s="1995"/>
      <c r="P3" s="1995"/>
      <c r="Q3" s="1995"/>
      <c r="R3" s="1995"/>
      <c r="S3" s="1995"/>
      <c r="T3" s="1995"/>
      <c r="U3" s="1995"/>
      <c r="V3" s="1995"/>
      <c r="W3" s="1995"/>
      <c r="X3" s="1995"/>
      <c r="Y3" s="1995"/>
      <c r="Z3" s="1995"/>
      <c r="AA3" s="1995"/>
      <c r="AB3" s="1996"/>
      <c r="AC3" s="1988" t="s">
        <v>2235</v>
      </c>
      <c r="AD3" s="1989"/>
      <c r="AE3" s="1989"/>
      <c r="AF3" s="1990"/>
      <c r="AG3" s="1991"/>
      <c r="AH3" s="1992"/>
      <c r="AI3" s="1992"/>
      <c r="AJ3" s="1992"/>
      <c r="AK3" s="1992"/>
      <c r="AL3" s="1993"/>
      <c r="AO3" s="393" t="s">
        <v>2236</v>
      </c>
    </row>
    <row r="4" spans="1:41" s="13" customFormat="1" ht="30" customHeight="1">
      <c r="A4" s="1972" t="s">
        <v>2237</v>
      </c>
      <c r="B4" s="1973"/>
      <c r="C4" s="1974" t="s">
        <v>2238</v>
      </c>
      <c r="D4" s="1973"/>
      <c r="E4" s="1973"/>
      <c r="F4" s="1974" t="s">
        <v>2239</v>
      </c>
      <c r="G4" s="1973"/>
      <c r="H4" s="1973"/>
      <c r="I4" s="1975"/>
      <c r="J4" s="1974" t="s">
        <v>2240</v>
      </c>
      <c r="K4" s="1973"/>
      <c r="L4" s="1973"/>
      <c r="M4" s="1973"/>
      <c r="N4" s="1973"/>
      <c r="O4" s="1973"/>
      <c r="P4" s="1973"/>
      <c r="Q4" s="1975"/>
      <c r="R4" s="1974" t="s">
        <v>2241</v>
      </c>
      <c r="S4" s="1973"/>
      <c r="T4" s="1973"/>
      <c r="U4" s="1973"/>
      <c r="V4" s="1973"/>
      <c r="W4" s="1973"/>
      <c r="X4" s="1973"/>
      <c r="Y4" s="1973"/>
      <c r="Z4" s="1973"/>
      <c r="AA4" s="1973"/>
      <c r="AB4" s="1973"/>
      <c r="AC4" s="1975"/>
      <c r="AD4" s="1974" t="s">
        <v>2242</v>
      </c>
      <c r="AE4" s="1973"/>
      <c r="AF4" s="1975"/>
      <c r="AG4" s="1974" t="s">
        <v>2243</v>
      </c>
      <c r="AH4" s="1973"/>
      <c r="AI4" s="1975"/>
      <c r="AJ4" s="1974" t="s">
        <v>2244</v>
      </c>
      <c r="AK4" s="1973"/>
      <c r="AL4" s="1976"/>
      <c r="AO4" s="496" t="s">
        <v>2245</v>
      </c>
    </row>
    <row r="5" spans="1:41" s="13" customFormat="1" ht="30" customHeight="1">
      <c r="A5" s="1931">
        <v>1</v>
      </c>
      <c r="B5" s="1932"/>
      <c r="C5" s="1935" t="s">
        <v>2246</v>
      </c>
      <c r="D5" s="1936"/>
      <c r="E5" s="1936"/>
      <c r="F5" s="1937"/>
      <c r="G5" s="1938"/>
      <c r="H5" s="1938"/>
      <c r="I5" s="1939"/>
      <c r="J5" s="1940"/>
      <c r="K5" s="1941"/>
      <c r="L5" s="1941"/>
      <c r="M5" s="1941"/>
      <c r="N5" s="1941"/>
      <c r="O5" s="1941"/>
      <c r="P5" s="1941"/>
      <c r="Q5" s="1942"/>
      <c r="R5" s="1940"/>
      <c r="S5" s="1941"/>
      <c r="T5" s="1941"/>
      <c r="U5" s="1941"/>
      <c r="V5" s="1941"/>
      <c r="W5" s="1941"/>
      <c r="X5" s="1941"/>
      <c r="Y5" s="1941"/>
      <c r="Z5" s="1941"/>
      <c r="AA5" s="1941"/>
      <c r="AB5" s="1941"/>
      <c r="AC5" s="1942"/>
      <c r="AD5" s="1943"/>
      <c r="AE5" s="1944"/>
      <c r="AF5" s="1945"/>
      <c r="AG5" s="1946"/>
      <c r="AH5" s="1947"/>
      <c r="AI5" s="1948"/>
      <c r="AJ5" s="1949"/>
      <c r="AK5" s="1950"/>
      <c r="AL5" s="1951"/>
      <c r="AO5" s="496" t="s">
        <v>179</v>
      </c>
    </row>
    <row r="6" spans="1:41" s="13" customFormat="1" ht="30" customHeight="1">
      <c r="A6" s="1933">
        <v>2</v>
      </c>
      <c r="B6" s="1934"/>
      <c r="C6" s="1935" t="s">
        <v>2246</v>
      </c>
      <c r="D6" s="1936"/>
      <c r="E6" s="1936"/>
      <c r="F6" s="1937"/>
      <c r="G6" s="1938"/>
      <c r="H6" s="1938"/>
      <c r="I6" s="1939"/>
      <c r="J6" s="1940"/>
      <c r="K6" s="1941"/>
      <c r="L6" s="1941"/>
      <c r="M6" s="1941"/>
      <c r="N6" s="1941"/>
      <c r="O6" s="1941"/>
      <c r="P6" s="1941"/>
      <c r="Q6" s="1942"/>
      <c r="R6" s="1940"/>
      <c r="S6" s="1941"/>
      <c r="T6" s="1941"/>
      <c r="U6" s="1941"/>
      <c r="V6" s="1941"/>
      <c r="W6" s="1941"/>
      <c r="X6" s="1941"/>
      <c r="Y6" s="1941"/>
      <c r="Z6" s="1941"/>
      <c r="AA6" s="1941"/>
      <c r="AB6" s="1941"/>
      <c r="AC6" s="1942"/>
      <c r="AD6" s="1943"/>
      <c r="AE6" s="1944"/>
      <c r="AF6" s="1945"/>
      <c r="AG6" s="1946"/>
      <c r="AH6" s="1947"/>
      <c r="AI6" s="1948"/>
      <c r="AJ6" s="1949"/>
      <c r="AK6" s="1950"/>
      <c r="AL6" s="1951"/>
      <c r="AO6" s="393" t="s">
        <v>2247</v>
      </c>
    </row>
    <row r="7" spans="1:41" s="13" customFormat="1" ht="30" customHeight="1">
      <c r="A7" s="1931">
        <v>3</v>
      </c>
      <c r="B7" s="1932"/>
      <c r="C7" s="1935" t="s">
        <v>2246</v>
      </c>
      <c r="D7" s="1936"/>
      <c r="E7" s="1936"/>
      <c r="F7" s="1937"/>
      <c r="G7" s="1938"/>
      <c r="H7" s="1938"/>
      <c r="I7" s="1939"/>
      <c r="J7" s="1940"/>
      <c r="K7" s="1941"/>
      <c r="L7" s="1941"/>
      <c r="M7" s="1941"/>
      <c r="N7" s="1941"/>
      <c r="O7" s="1941"/>
      <c r="P7" s="1941"/>
      <c r="Q7" s="1942"/>
      <c r="R7" s="1940"/>
      <c r="S7" s="1941"/>
      <c r="T7" s="1941"/>
      <c r="U7" s="1941"/>
      <c r="V7" s="1941"/>
      <c r="W7" s="1941"/>
      <c r="X7" s="1941"/>
      <c r="Y7" s="1941"/>
      <c r="Z7" s="1941"/>
      <c r="AA7" s="1941"/>
      <c r="AB7" s="1941"/>
      <c r="AC7" s="1942"/>
      <c r="AD7" s="1943"/>
      <c r="AE7" s="1944"/>
      <c r="AF7" s="1945"/>
      <c r="AG7" s="1946"/>
      <c r="AH7" s="1947"/>
      <c r="AI7" s="1948"/>
      <c r="AJ7" s="1949"/>
      <c r="AK7" s="1950"/>
      <c r="AL7" s="1951"/>
      <c r="AO7" s="393" t="s">
        <v>351</v>
      </c>
    </row>
    <row r="8" spans="1:41" s="13" customFormat="1" ht="30" customHeight="1">
      <c r="A8" s="1933">
        <v>4</v>
      </c>
      <c r="B8" s="1934"/>
      <c r="C8" s="1935" t="s">
        <v>2246</v>
      </c>
      <c r="D8" s="1936"/>
      <c r="E8" s="1936"/>
      <c r="F8" s="1937"/>
      <c r="G8" s="1938"/>
      <c r="H8" s="1938"/>
      <c r="I8" s="1939"/>
      <c r="J8" s="1940"/>
      <c r="K8" s="1941"/>
      <c r="L8" s="1941"/>
      <c r="M8" s="1941"/>
      <c r="N8" s="1941"/>
      <c r="O8" s="1941"/>
      <c r="P8" s="1941"/>
      <c r="Q8" s="1942"/>
      <c r="R8" s="1940"/>
      <c r="S8" s="1941"/>
      <c r="T8" s="1941"/>
      <c r="U8" s="1941"/>
      <c r="V8" s="1941"/>
      <c r="W8" s="1941"/>
      <c r="X8" s="1941"/>
      <c r="Y8" s="1941"/>
      <c r="Z8" s="1941"/>
      <c r="AA8" s="1941"/>
      <c r="AB8" s="1941"/>
      <c r="AC8" s="1942"/>
      <c r="AD8" s="1943"/>
      <c r="AE8" s="1944"/>
      <c r="AF8" s="1945"/>
      <c r="AG8" s="1946"/>
      <c r="AH8" s="1947"/>
      <c r="AI8" s="1948"/>
      <c r="AJ8" s="1949"/>
      <c r="AK8" s="1950"/>
      <c r="AL8" s="1951"/>
      <c r="AO8" s="393" t="s">
        <v>2248</v>
      </c>
    </row>
    <row r="9" spans="1:41" s="13" customFormat="1" ht="30" customHeight="1">
      <c r="A9" s="1931">
        <v>5</v>
      </c>
      <c r="B9" s="1932"/>
      <c r="C9" s="1935" t="s">
        <v>2246</v>
      </c>
      <c r="D9" s="1936"/>
      <c r="E9" s="1936"/>
      <c r="F9" s="1937"/>
      <c r="G9" s="1938"/>
      <c r="H9" s="1938"/>
      <c r="I9" s="1939"/>
      <c r="J9" s="1940"/>
      <c r="K9" s="1941"/>
      <c r="L9" s="1941"/>
      <c r="M9" s="1941"/>
      <c r="N9" s="1941"/>
      <c r="O9" s="1941"/>
      <c r="P9" s="1941"/>
      <c r="Q9" s="1942"/>
      <c r="R9" s="1940"/>
      <c r="S9" s="1941"/>
      <c r="T9" s="1941"/>
      <c r="U9" s="1941"/>
      <c r="V9" s="1941"/>
      <c r="W9" s="1941"/>
      <c r="X9" s="1941"/>
      <c r="Y9" s="1941"/>
      <c r="Z9" s="1941"/>
      <c r="AA9" s="1941"/>
      <c r="AB9" s="1941"/>
      <c r="AC9" s="1942"/>
      <c r="AD9" s="1943"/>
      <c r="AE9" s="1944"/>
      <c r="AF9" s="1945"/>
      <c r="AG9" s="1946"/>
      <c r="AH9" s="1947"/>
      <c r="AI9" s="1948"/>
      <c r="AJ9" s="1949"/>
      <c r="AK9" s="1950"/>
      <c r="AL9" s="1951"/>
      <c r="AO9" s="393" t="s">
        <v>2249</v>
      </c>
    </row>
    <row r="10" spans="1:41" s="13" customFormat="1" ht="30" customHeight="1">
      <c r="A10" s="1933">
        <v>6</v>
      </c>
      <c r="B10" s="1934"/>
      <c r="C10" s="1935" t="s">
        <v>2246</v>
      </c>
      <c r="D10" s="1936"/>
      <c r="E10" s="1936"/>
      <c r="F10" s="1937"/>
      <c r="G10" s="1938"/>
      <c r="H10" s="1938"/>
      <c r="I10" s="1939"/>
      <c r="J10" s="1940"/>
      <c r="K10" s="1941"/>
      <c r="L10" s="1941"/>
      <c r="M10" s="1941"/>
      <c r="N10" s="1941"/>
      <c r="O10" s="1941"/>
      <c r="P10" s="1941"/>
      <c r="Q10" s="1942"/>
      <c r="R10" s="1940"/>
      <c r="S10" s="1941"/>
      <c r="T10" s="1941"/>
      <c r="U10" s="1941"/>
      <c r="V10" s="1941"/>
      <c r="W10" s="1941"/>
      <c r="X10" s="1941"/>
      <c r="Y10" s="1941"/>
      <c r="Z10" s="1941"/>
      <c r="AA10" s="1941"/>
      <c r="AB10" s="1941"/>
      <c r="AC10" s="1942"/>
      <c r="AD10" s="1943"/>
      <c r="AE10" s="1944"/>
      <c r="AF10" s="1945"/>
      <c r="AG10" s="1946"/>
      <c r="AH10" s="1947"/>
      <c r="AI10" s="1948"/>
      <c r="AJ10" s="1949"/>
      <c r="AK10" s="1950"/>
      <c r="AL10" s="1951"/>
      <c r="AO10" s="496" t="s">
        <v>2250</v>
      </c>
    </row>
    <row r="11" spans="1:41" s="13" customFormat="1" ht="30" customHeight="1">
      <c r="A11" s="1931">
        <v>7</v>
      </c>
      <c r="B11" s="1932"/>
      <c r="C11" s="1935" t="s">
        <v>2246</v>
      </c>
      <c r="D11" s="1936"/>
      <c r="E11" s="1936"/>
      <c r="F11" s="1937"/>
      <c r="G11" s="1938"/>
      <c r="H11" s="1938"/>
      <c r="I11" s="1939"/>
      <c r="J11" s="1940"/>
      <c r="K11" s="1941"/>
      <c r="L11" s="1941"/>
      <c r="M11" s="1941"/>
      <c r="N11" s="1941"/>
      <c r="O11" s="1941"/>
      <c r="P11" s="1941"/>
      <c r="Q11" s="1942"/>
      <c r="R11" s="1940"/>
      <c r="S11" s="1941"/>
      <c r="T11" s="1941"/>
      <c r="U11" s="1941"/>
      <c r="V11" s="1941"/>
      <c r="W11" s="1941"/>
      <c r="X11" s="1941"/>
      <c r="Y11" s="1941"/>
      <c r="Z11" s="1941"/>
      <c r="AA11" s="1941"/>
      <c r="AB11" s="1941"/>
      <c r="AC11" s="1942"/>
      <c r="AD11" s="1943"/>
      <c r="AE11" s="1944"/>
      <c r="AF11" s="1945"/>
      <c r="AG11" s="1946"/>
      <c r="AH11" s="1947"/>
      <c r="AI11" s="1948"/>
      <c r="AJ11" s="1949"/>
      <c r="AK11" s="1950"/>
      <c r="AL11" s="1951"/>
      <c r="AO11" s="393" t="s">
        <v>1784</v>
      </c>
    </row>
    <row r="12" spans="1:41" s="13" customFormat="1" ht="30" customHeight="1">
      <c r="A12" s="1933">
        <v>8</v>
      </c>
      <c r="B12" s="1934"/>
      <c r="C12" s="1935" t="s">
        <v>2246</v>
      </c>
      <c r="D12" s="1936"/>
      <c r="E12" s="1936"/>
      <c r="F12" s="1937"/>
      <c r="G12" s="1938"/>
      <c r="H12" s="1938"/>
      <c r="I12" s="1939"/>
      <c r="J12" s="1940"/>
      <c r="K12" s="1941"/>
      <c r="L12" s="1941"/>
      <c r="M12" s="1941"/>
      <c r="N12" s="1941"/>
      <c r="O12" s="1941"/>
      <c r="P12" s="1941"/>
      <c r="Q12" s="1942"/>
      <c r="R12" s="1940"/>
      <c r="S12" s="1941"/>
      <c r="T12" s="1941"/>
      <c r="U12" s="1941"/>
      <c r="V12" s="1941"/>
      <c r="W12" s="1941"/>
      <c r="X12" s="1941"/>
      <c r="Y12" s="1941"/>
      <c r="Z12" s="1941"/>
      <c r="AA12" s="1941"/>
      <c r="AB12" s="1941"/>
      <c r="AC12" s="1942"/>
      <c r="AD12" s="1943"/>
      <c r="AE12" s="1944"/>
      <c r="AF12" s="1945"/>
      <c r="AG12" s="1946"/>
      <c r="AH12" s="1947"/>
      <c r="AI12" s="1948"/>
      <c r="AJ12" s="1949"/>
      <c r="AK12" s="1950"/>
      <c r="AL12" s="1951"/>
      <c r="AO12" s="393" t="s">
        <v>2251</v>
      </c>
    </row>
    <row r="13" spans="1:41" s="13" customFormat="1" ht="30" customHeight="1">
      <c r="A13" s="1931">
        <v>9</v>
      </c>
      <c r="B13" s="1932"/>
      <c r="C13" s="1935" t="s">
        <v>2246</v>
      </c>
      <c r="D13" s="1936"/>
      <c r="E13" s="1936"/>
      <c r="F13" s="1937"/>
      <c r="G13" s="1938"/>
      <c r="H13" s="1938"/>
      <c r="I13" s="1939"/>
      <c r="J13" s="1940"/>
      <c r="K13" s="1941"/>
      <c r="L13" s="1941"/>
      <c r="M13" s="1941"/>
      <c r="N13" s="1941"/>
      <c r="O13" s="1941"/>
      <c r="P13" s="1941"/>
      <c r="Q13" s="1942"/>
      <c r="R13" s="1940"/>
      <c r="S13" s="1941"/>
      <c r="T13" s="1941"/>
      <c r="U13" s="1941"/>
      <c r="V13" s="1941"/>
      <c r="W13" s="1941"/>
      <c r="X13" s="1941"/>
      <c r="Y13" s="1941"/>
      <c r="Z13" s="1941"/>
      <c r="AA13" s="1941"/>
      <c r="AB13" s="1941"/>
      <c r="AC13" s="1942"/>
      <c r="AD13" s="1943"/>
      <c r="AE13" s="1944"/>
      <c r="AF13" s="1945"/>
      <c r="AG13" s="1946"/>
      <c r="AH13" s="1947"/>
      <c r="AI13" s="1948"/>
      <c r="AJ13" s="1949"/>
      <c r="AK13" s="1950"/>
      <c r="AL13" s="1951"/>
      <c r="AO13" s="393" t="s">
        <v>2252</v>
      </c>
    </row>
    <row r="14" spans="1:41" s="13" customFormat="1" ht="30" customHeight="1">
      <c r="A14" s="1933">
        <v>10</v>
      </c>
      <c r="B14" s="1934"/>
      <c r="C14" s="1935" t="s">
        <v>2246</v>
      </c>
      <c r="D14" s="1936"/>
      <c r="E14" s="1936"/>
      <c r="F14" s="1937"/>
      <c r="G14" s="1938"/>
      <c r="H14" s="1938"/>
      <c r="I14" s="1939"/>
      <c r="J14" s="1940"/>
      <c r="K14" s="1941"/>
      <c r="L14" s="1941"/>
      <c r="M14" s="1941"/>
      <c r="N14" s="1941"/>
      <c r="O14" s="1941"/>
      <c r="P14" s="1941"/>
      <c r="Q14" s="1942"/>
      <c r="R14" s="1940"/>
      <c r="S14" s="1941"/>
      <c r="T14" s="1941"/>
      <c r="U14" s="1941"/>
      <c r="V14" s="1941"/>
      <c r="W14" s="1941"/>
      <c r="X14" s="1941"/>
      <c r="Y14" s="1941"/>
      <c r="Z14" s="1941"/>
      <c r="AA14" s="1941"/>
      <c r="AB14" s="1941"/>
      <c r="AC14" s="1942"/>
      <c r="AD14" s="1943"/>
      <c r="AE14" s="1944"/>
      <c r="AF14" s="1945"/>
      <c r="AG14" s="1946"/>
      <c r="AH14" s="1947"/>
      <c r="AI14" s="1948"/>
      <c r="AJ14" s="1949"/>
      <c r="AK14" s="1950"/>
      <c r="AL14" s="1951"/>
      <c r="AO14" s="393" t="s">
        <v>2253</v>
      </c>
    </row>
    <row r="15" spans="1:41" s="13" customFormat="1" ht="30" customHeight="1">
      <c r="A15" s="1931">
        <v>11</v>
      </c>
      <c r="B15" s="1932"/>
      <c r="C15" s="1935" t="s">
        <v>2246</v>
      </c>
      <c r="D15" s="1936"/>
      <c r="E15" s="1936"/>
      <c r="F15" s="1937"/>
      <c r="G15" s="1938"/>
      <c r="H15" s="1938"/>
      <c r="I15" s="1939"/>
      <c r="J15" s="1940"/>
      <c r="K15" s="1941"/>
      <c r="L15" s="1941"/>
      <c r="M15" s="1941"/>
      <c r="N15" s="1941"/>
      <c r="O15" s="1941"/>
      <c r="P15" s="1941"/>
      <c r="Q15" s="1942"/>
      <c r="R15" s="1940"/>
      <c r="S15" s="1941"/>
      <c r="T15" s="1941"/>
      <c r="U15" s="1941"/>
      <c r="V15" s="1941"/>
      <c r="W15" s="1941"/>
      <c r="X15" s="1941"/>
      <c r="Y15" s="1941"/>
      <c r="Z15" s="1941"/>
      <c r="AA15" s="1941"/>
      <c r="AB15" s="1941"/>
      <c r="AC15" s="1942"/>
      <c r="AD15" s="1943"/>
      <c r="AE15" s="1944"/>
      <c r="AF15" s="1945"/>
      <c r="AG15" s="1946"/>
      <c r="AH15" s="1947"/>
      <c r="AI15" s="1948"/>
      <c r="AJ15" s="1949"/>
      <c r="AK15" s="1950"/>
      <c r="AL15" s="1951"/>
      <c r="AO15" s="393" t="s">
        <v>2254</v>
      </c>
    </row>
    <row r="16" spans="1:41" s="13" customFormat="1" ht="30" customHeight="1">
      <c r="A16" s="1933">
        <v>12</v>
      </c>
      <c r="B16" s="1934"/>
      <c r="C16" s="1935" t="s">
        <v>2246</v>
      </c>
      <c r="D16" s="1936"/>
      <c r="E16" s="1936"/>
      <c r="F16" s="1937"/>
      <c r="G16" s="1938"/>
      <c r="H16" s="1938"/>
      <c r="I16" s="1939"/>
      <c r="J16" s="1940"/>
      <c r="K16" s="1941"/>
      <c r="L16" s="1941"/>
      <c r="M16" s="1941"/>
      <c r="N16" s="1941"/>
      <c r="O16" s="1941"/>
      <c r="P16" s="1941"/>
      <c r="Q16" s="1942"/>
      <c r="R16" s="1940"/>
      <c r="S16" s="1941"/>
      <c r="T16" s="1941"/>
      <c r="U16" s="1941"/>
      <c r="V16" s="1941"/>
      <c r="W16" s="1941"/>
      <c r="X16" s="1941"/>
      <c r="Y16" s="1941"/>
      <c r="Z16" s="1941"/>
      <c r="AA16" s="1941"/>
      <c r="AB16" s="1941"/>
      <c r="AC16" s="1942"/>
      <c r="AD16" s="1943"/>
      <c r="AE16" s="1944"/>
      <c r="AF16" s="1945"/>
      <c r="AG16" s="1946"/>
      <c r="AH16" s="1947"/>
      <c r="AI16" s="1948"/>
      <c r="AJ16" s="1949"/>
      <c r="AK16" s="1950"/>
      <c r="AL16" s="1951"/>
      <c r="AO16" s="496" t="s">
        <v>2255</v>
      </c>
    </row>
    <row r="17" spans="1:41" s="13" customFormat="1" ht="30" customHeight="1">
      <c r="A17" s="1931">
        <v>13</v>
      </c>
      <c r="B17" s="1932"/>
      <c r="C17" s="1935" t="s">
        <v>2246</v>
      </c>
      <c r="D17" s="1936"/>
      <c r="E17" s="1936"/>
      <c r="F17" s="1937"/>
      <c r="G17" s="1938"/>
      <c r="H17" s="1938"/>
      <c r="I17" s="1939"/>
      <c r="J17" s="1940"/>
      <c r="K17" s="1941"/>
      <c r="L17" s="1941"/>
      <c r="M17" s="1941"/>
      <c r="N17" s="1941"/>
      <c r="O17" s="1941"/>
      <c r="P17" s="1941"/>
      <c r="Q17" s="1942"/>
      <c r="R17" s="1940"/>
      <c r="S17" s="1941"/>
      <c r="T17" s="1941"/>
      <c r="U17" s="1941"/>
      <c r="V17" s="1941"/>
      <c r="W17" s="1941"/>
      <c r="X17" s="1941"/>
      <c r="Y17" s="1941"/>
      <c r="Z17" s="1941"/>
      <c r="AA17" s="1941"/>
      <c r="AB17" s="1941"/>
      <c r="AC17" s="1942"/>
      <c r="AD17" s="1943"/>
      <c r="AE17" s="1944"/>
      <c r="AF17" s="1945"/>
      <c r="AG17" s="1946"/>
      <c r="AH17" s="1947"/>
      <c r="AI17" s="1948"/>
      <c r="AJ17" s="1949"/>
      <c r="AK17" s="1950"/>
      <c r="AL17" s="1951"/>
      <c r="AO17" s="621" t="s">
        <v>2256</v>
      </c>
    </row>
    <row r="18" spans="1:41" s="13" customFormat="1" ht="30" customHeight="1">
      <c r="A18" s="1933">
        <v>14</v>
      </c>
      <c r="B18" s="1934"/>
      <c r="C18" s="1935" t="s">
        <v>2246</v>
      </c>
      <c r="D18" s="1936"/>
      <c r="E18" s="1936"/>
      <c r="F18" s="1937"/>
      <c r="G18" s="1938"/>
      <c r="H18" s="1938"/>
      <c r="I18" s="1939"/>
      <c r="J18" s="1940"/>
      <c r="K18" s="1941"/>
      <c r="L18" s="1941"/>
      <c r="M18" s="1941"/>
      <c r="N18" s="1941"/>
      <c r="O18" s="1941"/>
      <c r="P18" s="1941"/>
      <c r="Q18" s="1942"/>
      <c r="R18" s="1940"/>
      <c r="S18" s="1941"/>
      <c r="T18" s="1941"/>
      <c r="U18" s="1941"/>
      <c r="V18" s="1941"/>
      <c r="W18" s="1941"/>
      <c r="X18" s="1941"/>
      <c r="Y18" s="1941"/>
      <c r="Z18" s="1941"/>
      <c r="AA18" s="1941"/>
      <c r="AB18" s="1941"/>
      <c r="AC18" s="1942"/>
      <c r="AD18" s="1943"/>
      <c r="AE18" s="1944"/>
      <c r="AF18" s="1945"/>
      <c r="AG18" s="1946"/>
      <c r="AH18" s="1947"/>
      <c r="AI18" s="1948"/>
      <c r="AJ18" s="1949"/>
      <c r="AK18" s="1950"/>
      <c r="AL18" s="1951"/>
    </row>
    <row r="19" spans="1:41" s="13" customFormat="1" ht="30" customHeight="1">
      <c r="A19" s="1931">
        <v>15</v>
      </c>
      <c r="B19" s="1932"/>
      <c r="C19" s="1935" t="s">
        <v>2246</v>
      </c>
      <c r="D19" s="1936"/>
      <c r="E19" s="1936"/>
      <c r="F19" s="1937"/>
      <c r="G19" s="1938"/>
      <c r="H19" s="1938"/>
      <c r="I19" s="1939"/>
      <c r="J19" s="1940"/>
      <c r="K19" s="1941"/>
      <c r="L19" s="1941"/>
      <c r="M19" s="1941"/>
      <c r="N19" s="1941"/>
      <c r="O19" s="1941"/>
      <c r="P19" s="1941"/>
      <c r="Q19" s="1942"/>
      <c r="R19" s="1940"/>
      <c r="S19" s="1941"/>
      <c r="T19" s="1941"/>
      <c r="U19" s="1941"/>
      <c r="V19" s="1941"/>
      <c r="W19" s="1941"/>
      <c r="X19" s="1941"/>
      <c r="Y19" s="1941"/>
      <c r="Z19" s="1941"/>
      <c r="AA19" s="1941"/>
      <c r="AB19" s="1941"/>
      <c r="AC19" s="1942"/>
      <c r="AD19" s="1943"/>
      <c r="AE19" s="1944"/>
      <c r="AF19" s="1945"/>
      <c r="AG19" s="1946"/>
      <c r="AH19" s="1947"/>
      <c r="AI19" s="1948"/>
      <c r="AJ19" s="1949"/>
      <c r="AK19" s="1950"/>
      <c r="AL19" s="1951"/>
    </row>
    <row r="20" spans="1:41" s="13" customFormat="1" ht="30" customHeight="1">
      <c r="A20" s="1933">
        <v>16</v>
      </c>
      <c r="B20" s="1934"/>
      <c r="C20" s="1935" t="s">
        <v>2246</v>
      </c>
      <c r="D20" s="1936"/>
      <c r="E20" s="1936"/>
      <c r="F20" s="1937"/>
      <c r="G20" s="1938"/>
      <c r="H20" s="1938"/>
      <c r="I20" s="1939"/>
      <c r="J20" s="1940"/>
      <c r="K20" s="1941"/>
      <c r="L20" s="1941"/>
      <c r="M20" s="1941"/>
      <c r="N20" s="1941"/>
      <c r="O20" s="1941"/>
      <c r="P20" s="1941"/>
      <c r="Q20" s="1942"/>
      <c r="R20" s="1940"/>
      <c r="S20" s="1941"/>
      <c r="T20" s="1941"/>
      <c r="U20" s="1941"/>
      <c r="V20" s="1941"/>
      <c r="W20" s="1941"/>
      <c r="X20" s="1941"/>
      <c r="Y20" s="1941"/>
      <c r="Z20" s="1941"/>
      <c r="AA20" s="1941"/>
      <c r="AB20" s="1941"/>
      <c r="AC20" s="1942"/>
      <c r="AD20" s="1943"/>
      <c r="AE20" s="1944"/>
      <c r="AF20" s="1945"/>
      <c r="AG20" s="1946"/>
      <c r="AH20" s="1947"/>
      <c r="AI20" s="1948"/>
      <c r="AJ20" s="1949"/>
      <c r="AK20" s="1950"/>
      <c r="AL20" s="1951"/>
    </row>
    <row r="21" spans="1:41" s="13" customFormat="1" ht="30" customHeight="1">
      <c r="A21" s="1931">
        <v>17</v>
      </c>
      <c r="B21" s="1932"/>
      <c r="C21" s="1935" t="s">
        <v>2246</v>
      </c>
      <c r="D21" s="1936"/>
      <c r="E21" s="1936"/>
      <c r="F21" s="1937"/>
      <c r="G21" s="1938"/>
      <c r="H21" s="1938"/>
      <c r="I21" s="1939"/>
      <c r="J21" s="1940"/>
      <c r="K21" s="1941"/>
      <c r="L21" s="1941"/>
      <c r="M21" s="1941"/>
      <c r="N21" s="1941"/>
      <c r="O21" s="1941"/>
      <c r="P21" s="1941"/>
      <c r="Q21" s="1942"/>
      <c r="R21" s="1940"/>
      <c r="S21" s="1941"/>
      <c r="T21" s="1941"/>
      <c r="U21" s="1941"/>
      <c r="V21" s="1941"/>
      <c r="W21" s="1941"/>
      <c r="X21" s="1941"/>
      <c r="Y21" s="1941"/>
      <c r="Z21" s="1941"/>
      <c r="AA21" s="1941"/>
      <c r="AB21" s="1941"/>
      <c r="AC21" s="1942"/>
      <c r="AD21" s="1943"/>
      <c r="AE21" s="1944"/>
      <c r="AF21" s="1945"/>
      <c r="AG21" s="1946"/>
      <c r="AH21" s="1947"/>
      <c r="AI21" s="1948"/>
      <c r="AJ21" s="1949"/>
      <c r="AK21" s="1950"/>
      <c r="AL21" s="1951"/>
    </row>
    <row r="22" spans="1:41" s="13" customFormat="1" ht="30" customHeight="1">
      <c r="A22" s="1933">
        <v>18</v>
      </c>
      <c r="B22" s="1934"/>
      <c r="C22" s="1935" t="s">
        <v>2246</v>
      </c>
      <c r="D22" s="1936"/>
      <c r="E22" s="1936"/>
      <c r="F22" s="1937"/>
      <c r="G22" s="1938"/>
      <c r="H22" s="1938"/>
      <c r="I22" s="1939"/>
      <c r="J22" s="1940"/>
      <c r="K22" s="1941"/>
      <c r="L22" s="1941"/>
      <c r="M22" s="1941"/>
      <c r="N22" s="1941"/>
      <c r="O22" s="1941"/>
      <c r="P22" s="1941"/>
      <c r="Q22" s="1942"/>
      <c r="R22" s="1940"/>
      <c r="S22" s="1941"/>
      <c r="T22" s="1941"/>
      <c r="U22" s="1941"/>
      <c r="V22" s="1941"/>
      <c r="W22" s="1941"/>
      <c r="X22" s="1941"/>
      <c r="Y22" s="1941"/>
      <c r="Z22" s="1941"/>
      <c r="AA22" s="1941"/>
      <c r="AB22" s="1941"/>
      <c r="AC22" s="1942"/>
      <c r="AD22" s="1943"/>
      <c r="AE22" s="1944"/>
      <c r="AF22" s="1945"/>
      <c r="AG22" s="1946"/>
      <c r="AH22" s="1947"/>
      <c r="AI22" s="1948"/>
      <c r="AJ22" s="1949"/>
      <c r="AK22" s="1950"/>
      <c r="AL22" s="1951"/>
    </row>
    <row r="23" spans="1:41" s="13" customFormat="1" ht="30" customHeight="1">
      <c r="A23" s="1931">
        <v>19</v>
      </c>
      <c r="B23" s="1932"/>
      <c r="C23" s="1935" t="s">
        <v>2246</v>
      </c>
      <c r="D23" s="1936"/>
      <c r="E23" s="1936"/>
      <c r="F23" s="1937"/>
      <c r="G23" s="1938"/>
      <c r="H23" s="1938"/>
      <c r="I23" s="1939"/>
      <c r="J23" s="1940"/>
      <c r="K23" s="1941"/>
      <c r="L23" s="1941"/>
      <c r="M23" s="1941"/>
      <c r="N23" s="1941"/>
      <c r="O23" s="1941"/>
      <c r="P23" s="1941"/>
      <c r="Q23" s="1942"/>
      <c r="R23" s="1940"/>
      <c r="S23" s="1941"/>
      <c r="T23" s="1941"/>
      <c r="U23" s="1941"/>
      <c r="V23" s="1941"/>
      <c r="W23" s="1941"/>
      <c r="X23" s="1941"/>
      <c r="Y23" s="1941"/>
      <c r="Z23" s="1941"/>
      <c r="AA23" s="1941"/>
      <c r="AB23" s="1941"/>
      <c r="AC23" s="1942"/>
      <c r="AD23" s="1943"/>
      <c r="AE23" s="1944"/>
      <c r="AF23" s="1945"/>
      <c r="AG23" s="1946"/>
      <c r="AH23" s="1947"/>
      <c r="AI23" s="1948"/>
      <c r="AJ23" s="1949"/>
      <c r="AK23" s="1950"/>
      <c r="AL23" s="1951"/>
    </row>
    <row r="24" spans="1:41" s="13" customFormat="1" ht="30" customHeight="1">
      <c r="A24" s="1933">
        <v>20</v>
      </c>
      <c r="B24" s="1934"/>
      <c r="C24" s="1935" t="s">
        <v>2246</v>
      </c>
      <c r="D24" s="1936"/>
      <c r="E24" s="1936"/>
      <c r="F24" s="1937"/>
      <c r="G24" s="1938"/>
      <c r="H24" s="1938"/>
      <c r="I24" s="1939"/>
      <c r="J24" s="1940"/>
      <c r="K24" s="1941"/>
      <c r="L24" s="1941"/>
      <c r="M24" s="1941"/>
      <c r="N24" s="1941"/>
      <c r="O24" s="1941"/>
      <c r="P24" s="1941"/>
      <c r="Q24" s="1942"/>
      <c r="R24" s="1940"/>
      <c r="S24" s="1941"/>
      <c r="T24" s="1941"/>
      <c r="U24" s="1941"/>
      <c r="V24" s="1941"/>
      <c r="W24" s="1941"/>
      <c r="X24" s="1941"/>
      <c r="Y24" s="1941"/>
      <c r="Z24" s="1941"/>
      <c r="AA24" s="1941"/>
      <c r="AB24" s="1941"/>
      <c r="AC24" s="1942"/>
      <c r="AD24" s="1943"/>
      <c r="AE24" s="1944"/>
      <c r="AF24" s="1945"/>
      <c r="AG24" s="1946"/>
      <c r="AH24" s="1947"/>
      <c r="AI24" s="1948"/>
      <c r="AJ24" s="1949"/>
      <c r="AK24" s="1950"/>
      <c r="AL24" s="1951"/>
    </row>
    <row r="25" spans="1:41" s="13" customFormat="1" ht="30" customHeight="1">
      <c r="A25" s="1931">
        <v>21</v>
      </c>
      <c r="B25" s="1932"/>
      <c r="C25" s="1935" t="s">
        <v>2246</v>
      </c>
      <c r="D25" s="1936"/>
      <c r="E25" s="1936"/>
      <c r="F25" s="1937"/>
      <c r="G25" s="1938"/>
      <c r="H25" s="1938"/>
      <c r="I25" s="1939"/>
      <c r="J25" s="1940"/>
      <c r="K25" s="1941"/>
      <c r="L25" s="1941"/>
      <c r="M25" s="1941"/>
      <c r="N25" s="1941"/>
      <c r="O25" s="1941"/>
      <c r="P25" s="1941"/>
      <c r="Q25" s="1942"/>
      <c r="R25" s="1940"/>
      <c r="S25" s="1941"/>
      <c r="T25" s="1941"/>
      <c r="U25" s="1941"/>
      <c r="V25" s="1941"/>
      <c r="W25" s="1941"/>
      <c r="X25" s="1941"/>
      <c r="Y25" s="1941"/>
      <c r="Z25" s="1941"/>
      <c r="AA25" s="1941"/>
      <c r="AB25" s="1941"/>
      <c r="AC25" s="1942"/>
      <c r="AD25" s="1943"/>
      <c r="AE25" s="1944"/>
      <c r="AF25" s="1945"/>
      <c r="AG25" s="1946"/>
      <c r="AH25" s="1947"/>
      <c r="AI25" s="1948"/>
      <c r="AJ25" s="1949"/>
      <c r="AK25" s="1950"/>
      <c r="AL25" s="1951"/>
    </row>
    <row r="26" spans="1:41" s="13" customFormat="1" ht="30" customHeight="1">
      <c r="A26" s="1933">
        <v>22</v>
      </c>
      <c r="B26" s="1934"/>
      <c r="C26" s="1935" t="s">
        <v>2246</v>
      </c>
      <c r="D26" s="1936"/>
      <c r="E26" s="1936"/>
      <c r="F26" s="1937"/>
      <c r="G26" s="1938"/>
      <c r="H26" s="1938"/>
      <c r="I26" s="1939"/>
      <c r="J26" s="1940"/>
      <c r="K26" s="1941"/>
      <c r="L26" s="1941"/>
      <c r="M26" s="1941"/>
      <c r="N26" s="1941"/>
      <c r="O26" s="1941"/>
      <c r="P26" s="1941"/>
      <c r="Q26" s="1942"/>
      <c r="R26" s="1940"/>
      <c r="S26" s="1941"/>
      <c r="T26" s="1941"/>
      <c r="U26" s="1941"/>
      <c r="V26" s="1941"/>
      <c r="W26" s="1941"/>
      <c r="X26" s="1941"/>
      <c r="Y26" s="1941"/>
      <c r="Z26" s="1941"/>
      <c r="AA26" s="1941"/>
      <c r="AB26" s="1941"/>
      <c r="AC26" s="1942"/>
      <c r="AD26" s="1943"/>
      <c r="AE26" s="1944"/>
      <c r="AF26" s="1945"/>
      <c r="AG26" s="1946"/>
      <c r="AH26" s="1947"/>
      <c r="AI26" s="1948"/>
      <c r="AJ26" s="1949"/>
      <c r="AK26" s="1950"/>
      <c r="AL26" s="1951"/>
    </row>
    <row r="27" spans="1:41" s="13" customFormat="1" ht="30" customHeight="1">
      <c r="A27" s="1931">
        <v>23</v>
      </c>
      <c r="B27" s="1932"/>
      <c r="C27" s="1935" t="s">
        <v>2246</v>
      </c>
      <c r="D27" s="1936"/>
      <c r="E27" s="1936"/>
      <c r="F27" s="1937"/>
      <c r="G27" s="1938"/>
      <c r="H27" s="1938"/>
      <c r="I27" s="1939"/>
      <c r="J27" s="1940"/>
      <c r="K27" s="1941"/>
      <c r="L27" s="1941"/>
      <c r="M27" s="1941"/>
      <c r="N27" s="1941"/>
      <c r="O27" s="1941"/>
      <c r="P27" s="1941"/>
      <c r="Q27" s="1942"/>
      <c r="R27" s="1940"/>
      <c r="S27" s="1941"/>
      <c r="T27" s="1941"/>
      <c r="U27" s="1941"/>
      <c r="V27" s="1941"/>
      <c r="W27" s="1941"/>
      <c r="X27" s="1941"/>
      <c r="Y27" s="1941"/>
      <c r="Z27" s="1941"/>
      <c r="AA27" s="1941"/>
      <c r="AB27" s="1941"/>
      <c r="AC27" s="1942"/>
      <c r="AD27" s="1943"/>
      <c r="AE27" s="1944"/>
      <c r="AF27" s="1945"/>
      <c r="AG27" s="1946"/>
      <c r="AH27" s="1947"/>
      <c r="AI27" s="1948"/>
      <c r="AJ27" s="1949"/>
      <c r="AK27" s="1950"/>
      <c r="AL27" s="1951"/>
    </row>
    <row r="28" spans="1:41" s="13" customFormat="1" ht="30" customHeight="1">
      <c r="A28" s="1933">
        <v>24</v>
      </c>
      <c r="B28" s="1934"/>
      <c r="C28" s="1935" t="s">
        <v>2246</v>
      </c>
      <c r="D28" s="1936"/>
      <c r="E28" s="1936"/>
      <c r="F28" s="1937"/>
      <c r="G28" s="1938"/>
      <c r="H28" s="1938"/>
      <c r="I28" s="1939"/>
      <c r="J28" s="1940"/>
      <c r="K28" s="1941"/>
      <c r="L28" s="1941"/>
      <c r="M28" s="1941"/>
      <c r="N28" s="1941"/>
      <c r="O28" s="1941"/>
      <c r="P28" s="1941"/>
      <c r="Q28" s="1942"/>
      <c r="R28" s="1940"/>
      <c r="S28" s="1941"/>
      <c r="T28" s="1941"/>
      <c r="U28" s="1941"/>
      <c r="V28" s="1941"/>
      <c r="W28" s="1941"/>
      <c r="X28" s="1941"/>
      <c r="Y28" s="1941"/>
      <c r="Z28" s="1941"/>
      <c r="AA28" s="1941"/>
      <c r="AB28" s="1941"/>
      <c r="AC28" s="1942"/>
      <c r="AD28" s="1943"/>
      <c r="AE28" s="1944"/>
      <c r="AF28" s="1945"/>
      <c r="AG28" s="1946"/>
      <c r="AH28" s="1947"/>
      <c r="AI28" s="1948"/>
      <c r="AJ28" s="1949"/>
      <c r="AK28" s="1950"/>
      <c r="AL28" s="1951"/>
    </row>
    <row r="29" spans="1:41" s="13" customFormat="1" ht="30" customHeight="1">
      <c r="A29" s="1931">
        <v>25</v>
      </c>
      <c r="B29" s="1932"/>
      <c r="C29" s="1935" t="s">
        <v>2246</v>
      </c>
      <c r="D29" s="1936"/>
      <c r="E29" s="1936"/>
      <c r="F29" s="1937"/>
      <c r="G29" s="1938"/>
      <c r="H29" s="1938"/>
      <c r="I29" s="1939"/>
      <c r="J29" s="1940"/>
      <c r="K29" s="1941"/>
      <c r="L29" s="1941"/>
      <c r="M29" s="1941"/>
      <c r="N29" s="1941"/>
      <c r="O29" s="1941"/>
      <c r="P29" s="1941"/>
      <c r="Q29" s="1942"/>
      <c r="R29" s="1940"/>
      <c r="S29" s="1941"/>
      <c r="T29" s="1941"/>
      <c r="U29" s="1941"/>
      <c r="V29" s="1941"/>
      <c r="W29" s="1941"/>
      <c r="X29" s="1941"/>
      <c r="Y29" s="1941"/>
      <c r="Z29" s="1941"/>
      <c r="AA29" s="1941"/>
      <c r="AB29" s="1941"/>
      <c r="AC29" s="1942"/>
      <c r="AD29" s="1943"/>
      <c r="AE29" s="1944"/>
      <c r="AF29" s="1945"/>
      <c r="AG29" s="1946"/>
      <c r="AH29" s="1947"/>
      <c r="AI29" s="1948"/>
      <c r="AJ29" s="1949"/>
      <c r="AK29" s="1950"/>
      <c r="AL29" s="1951"/>
    </row>
    <row r="30" spans="1:41" s="13" customFormat="1" ht="30" customHeight="1">
      <c r="A30" s="1933">
        <v>26</v>
      </c>
      <c r="B30" s="1934"/>
      <c r="C30" s="1935" t="s">
        <v>2246</v>
      </c>
      <c r="D30" s="1936"/>
      <c r="E30" s="1936"/>
      <c r="F30" s="1937"/>
      <c r="G30" s="1938"/>
      <c r="H30" s="1938"/>
      <c r="I30" s="1939"/>
      <c r="J30" s="1940"/>
      <c r="K30" s="1941"/>
      <c r="L30" s="1941"/>
      <c r="M30" s="1941"/>
      <c r="N30" s="1941"/>
      <c r="O30" s="1941"/>
      <c r="P30" s="1941"/>
      <c r="Q30" s="1942"/>
      <c r="R30" s="1940"/>
      <c r="S30" s="1941"/>
      <c r="T30" s="1941"/>
      <c r="U30" s="1941"/>
      <c r="V30" s="1941"/>
      <c r="W30" s="1941"/>
      <c r="X30" s="1941"/>
      <c r="Y30" s="1941"/>
      <c r="Z30" s="1941"/>
      <c r="AA30" s="1941"/>
      <c r="AB30" s="1941"/>
      <c r="AC30" s="1942"/>
      <c r="AD30" s="1943"/>
      <c r="AE30" s="1944"/>
      <c r="AF30" s="1945"/>
      <c r="AG30" s="1946"/>
      <c r="AH30" s="1947"/>
      <c r="AI30" s="1948"/>
      <c r="AJ30" s="1949"/>
      <c r="AK30" s="1950"/>
      <c r="AL30" s="1951"/>
    </row>
    <row r="31" spans="1:41" s="13" customFormat="1" ht="30" customHeight="1">
      <c r="A31" s="1931">
        <v>27</v>
      </c>
      <c r="B31" s="1932"/>
      <c r="C31" s="1935" t="s">
        <v>2246</v>
      </c>
      <c r="D31" s="1936"/>
      <c r="E31" s="1936"/>
      <c r="F31" s="1937"/>
      <c r="G31" s="1938"/>
      <c r="H31" s="1938"/>
      <c r="I31" s="1939"/>
      <c r="J31" s="1940"/>
      <c r="K31" s="1941"/>
      <c r="L31" s="1941"/>
      <c r="M31" s="1941"/>
      <c r="N31" s="1941"/>
      <c r="O31" s="1941"/>
      <c r="P31" s="1941"/>
      <c r="Q31" s="1942"/>
      <c r="R31" s="1940"/>
      <c r="S31" s="1941"/>
      <c r="T31" s="1941"/>
      <c r="U31" s="1941"/>
      <c r="V31" s="1941"/>
      <c r="W31" s="1941"/>
      <c r="X31" s="1941"/>
      <c r="Y31" s="1941"/>
      <c r="Z31" s="1941"/>
      <c r="AA31" s="1941"/>
      <c r="AB31" s="1941"/>
      <c r="AC31" s="1942"/>
      <c r="AD31" s="1943"/>
      <c r="AE31" s="1944"/>
      <c r="AF31" s="1945"/>
      <c r="AG31" s="1946"/>
      <c r="AH31" s="1947"/>
      <c r="AI31" s="1948"/>
      <c r="AJ31" s="1949"/>
      <c r="AK31" s="1950"/>
      <c r="AL31" s="1951"/>
    </row>
    <row r="32" spans="1:41" s="13" customFormat="1" ht="30" customHeight="1">
      <c r="A32" s="1933">
        <v>28</v>
      </c>
      <c r="B32" s="1934"/>
      <c r="C32" s="1935" t="s">
        <v>2246</v>
      </c>
      <c r="D32" s="1936"/>
      <c r="E32" s="1936"/>
      <c r="F32" s="1937"/>
      <c r="G32" s="1938"/>
      <c r="H32" s="1938"/>
      <c r="I32" s="1939"/>
      <c r="J32" s="1940"/>
      <c r="K32" s="1941"/>
      <c r="L32" s="1941"/>
      <c r="M32" s="1941"/>
      <c r="N32" s="1941"/>
      <c r="O32" s="1941"/>
      <c r="P32" s="1941"/>
      <c r="Q32" s="1942"/>
      <c r="R32" s="1940"/>
      <c r="S32" s="1941"/>
      <c r="T32" s="1941"/>
      <c r="U32" s="1941"/>
      <c r="V32" s="1941"/>
      <c r="W32" s="1941"/>
      <c r="X32" s="1941"/>
      <c r="Y32" s="1941"/>
      <c r="Z32" s="1941"/>
      <c r="AA32" s="1941"/>
      <c r="AB32" s="1941"/>
      <c r="AC32" s="1942"/>
      <c r="AD32" s="1943"/>
      <c r="AE32" s="1944"/>
      <c r="AF32" s="1945"/>
      <c r="AG32" s="1946"/>
      <c r="AH32" s="1947"/>
      <c r="AI32" s="1948"/>
      <c r="AJ32" s="1949"/>
      <c r="AK32" s="1950"/>
      <c r="AL32" s="1951"/>
    </row>
    <row r="33" spans="1:41" s="13" customFormat="1" ht="30" customHeight="1">
      <c r="A33" s="1931">
        <v>29</v>
      </c>
      <c r="B33" s="1932"/>
      <c r="C33" s="1935" t="s">
        <v>2246</v>
      </c>
      <c r="D33" s="1936"/>
      <c r="E33" s="1936"/>
      <c r="F33" s="1937"/>
      <c r="G33" s="1938"/>
      <c r="H33" s="1938"/>
      <c r="I33" s="1939"/>
      <c r="J33" s="1940"/>
      <c r="K33" s="1941"/>
      <c r="L33" s="1941"/>
      <c r="M33" s="1941"/>
      <c r="N33" s="1941"/>
      <c r="O33" s="1941"/>
      <c r="P33" s="1941"/>
      <c r="Q33" s="1942"/>
      <c r="R33" s="1940"/>
      <c r="S33" s="1941"/>
      <c r="T33" s="1941"/>
      <c r="U33" s="1941"/>
      <c r="V33" s="1941"/>
      <c r="W33" s="1941"/>
      <c r="X33" s="1941"/>
      <c r="Y33" s="1941"/>
      <c r="Z33" s="1941"/>
      <c r="AA33" s="1941"/>
      <c r="AB33" s="1941"/>
      <c r="AC33" s="1942"/>
      <c r="AD33" s="1943"/>
      <c r="AE33" s="1944"/>
      <c r="AF33" s="1945"/>
      <c r="AG33" s="1946"/>
      <c r="AH33" s="1947"/>
      <c r="AI33" s="1948"/>
      <c r="AJ33" s="1949"/>
      <c r="AK33" s="1950"/>
      <c r="AL33" s="1951"/>
    </row>
    <row r="34" spans="1:41" s="13" customFormat="1" ht="30" customHeight="1" thickBot="1">
      <c r="A34" s="1961">
        <v>30</v>
      </c>
      <c r="B34" s="1962"/>
      <c r="C34" s="1963" t="s">
        <v>2246</v>
      </c>
      <c r="D34" s="1964"/>
      <c r="E34" s="1965"/>
      <c r="F34" s="1966"/>
      <c r="G34" s="1967"/>
      <c r="H34" s="1967"/>
      <c r="I34" s="1968"/>
      <c r="J34" s="1969"/>
      <c r="K34" s="1970"/>
      <c r="L34" s="1970"/>
      <c r="M34" s="1970"/>
      <c r="N34" s="1970"/>
      <c r="O34" s="1970"/>
      <c r="P34" s="1970"/>
      <c r="Q34" s="1971"/>
      <c r="R34" s="1969"/>
      <c r="S34" s="1970"/>
      <c r="T34" s="1970"/>
      <c r="U34" s="1970"/>
      <c r="V34" s="1970"/>
      <c r="W34" s="1970"/>
      <c r="X34" s="1970"/>
      <c r="Y34" s="1970"/>
      <c r="Z34" s="1970"/>
      <c r="AA34" s="1970"/>
      <c r="AB34" s="1970"/>
      <c r="AC34" s="1971"/>
      <c r="AD34" s="1952"/>
      <c r="AE34" s="1953"/>
      <c r="AF34" s="1954"/>
      <c r="AG34" s="1955"/>
      <c r="AH34" s="1956"/>
      <c r="AI34" s="1957"/>
      <c r="AJ34" s="1958"/>
      <c r="AK34" s="1959"/>
      <c r="AL34" s="1960"/>
    </row>
    <row r="35" spans="1:41">
      <c r="AO35" s="13"/>
    </row>
    <row r="36" spans="1:41">
      <c r="AO36" s="13"/>
    </row>
  </sheetData>
  <sheetProtection algorithmName="SHA-512" hashValue="XEheCvlhs4cEgyJ5nU3TRHFPzwLeNeN+N0ocd0RFTyjZXHoDiAESPsV66Epffwew2JH08MiTlgE7WKv64dRE6Q==" saltValue="GVJL7r5Gl9ES7liS9bX5rw==" spinCount="100000" sheet="1" objects="1" scenarios="1"/>
  <mergeCells count="255">
    <mergeCell ref="A4:B4"/>
    <mergeCell ref="C4:E4"/>
    <mergeCell ref="F4:I4"/>
    <mergeCell ref="R4:AC4"/>
    <mergeCell ref="AD4:AF4"/>
    <mergeCell ref="AG4:AI4"/>
    <mergeCell ref="AJ4:AL4"/>
    <mergeCell ref="J4:Q4"/>
    <mergeCell ref="A1:AI1"/>
    <mergeCell ref="AJ1:AL1"/>
    <mergeCell ref="A2:AL2"/>
    <mergeCell ref="A3:C3"/>
    <mergeCell ref="AC3:AF3"/>
    <mergeCell ref="AG3:AL3"/>
    <mergeCell ref="D3:AB3"/>
    <mergeCell ref="AD5:AF5"/>
    <mergeCell ref="AG5:AI5"/>
    <mergeCell ref="AJ5:AL5"/>
    <mergeCell ref="A6:B6"/>
    <mergeCell ref="C6:E6"/>
    <mergeCell ref="F6:I6"/>
    <mergeCell ref="R6:AC6"/>
    <mergeCell ref="AD6:AF6"/>
    <mergeCell ref="A5:B5"/>
    <mergeCell ref="C5:E5"/>
    <mergeCell ref="F5:I5"/>
    <mergeCell ref="R5:AC5"/>
    <mergeCell ref="AG6:AI6"/>
    <mergeCell ref="AJ6:AL6"/>
    <mergeCell ref="J5:Q5"/>
    <mergeCell ref="J6:Q6"/>
    <mergeCell ref="A7:B7"/>
    <mergeCell ref="C7:E7"/>
    <mergeCell ref="F7:I7"/>
    <mergeCell ref="R7:AC7"/>
    <mergeCell ref="AD7:AF7"/>
    <mergeCell ref="AG7:AI7"/>
    <mergeCell ref="AJ7:AL7"/>
    <mergeCell ref="J7:Q7"/>
    <mergeCell ref="A8:B8"/>
    <mergeCell ref="C8:E8"/>
    <mergeCell ref="F8:I8"/>
    <mergeCell ref="R8:AC8"/>
    <mergeCell ref="AD8:AF8"/>
    <mergeCell ref="AG8:AI8"/>
    <mergeCell ref="AJ8:AL8"/>
    <mergeCell ref="J8:Q8"/>
    <mergeCell ref="AD9:AF9"/>
    <mergeCell ref="AG9:AI9"/>
    <mergeCell ref="AJ9:AL9"/>
    <mergeCell ref="A10:B10"/>
    <mergeCell ref="C10:E10"/>
    <mergeCell ref="F10:I10"/>
    <mergeCell ref="R10:AC10"/>
    <mergeCell ref="AD10:AF10"/>
    <mergeCell ref="A9:B9"/>
    <mergeCell ref="C9:E9"/>
    <mergeCell ref="F9:I9"/>
    <mergeCell ref="R9:AC9"/>
    <mergeCell ref="AG10:AI10"/>
    <mergeCell ref="AJ10:AL10"/>
    <mergeCell ref="J9:Q9"/>
    <mergeCell ref="J10:Q10"/>
    <mergeCell ref="A11:B11"/>
    <mergeCell ref="C11:E11"/>
    <mergeCell ref="F11:I11"/>
    <mergeCell ref="R11:AC11"/>
    <mergeCell ref="AD11:AF11"/>
    <mergeCell ref="AG11:AI11"/>
    <mergeCell ref="AJ11:AL11"/>
    <mergeCell ref="J11:Q11"/>
    <mergeCell ref="A12:B12"/>
    <mergeCell ref="C12:E12"/>
    <mergeCell ref="F12:I12"/>
    <mergeCell ref="R12:AC12"/>
    <mergeCell ref="AD12:AF12"/>
    <mergeCell ref="AG12:AI12"/>
    <mergeCell ref="AJ12:AL12"/>
    <mergeCell ref="J12:Q12"/>
    <mergeCell ref="AD13:AF13"/>
    <mergeCell ref="AG13:AI13"/>
    <mergeCell ref="AJ13:AL13"/>
    <mergeCell ref="A14:B14"/>
    <mergeCell ref="C14:E14"/>
    <mergeCell ref="F14:I14"/>
    <mergeCell ref="R14:AC14"/>
    <mergeCell ref="AD14:AF14"/>
    <mergeCell ref="A13:B13"/>
    <mergeCell ref="C13:E13"/>
    <mergeCell ref="F13:I13"/>
    <mergeCell ref="R13:AC13"/>
    <mergeCell ref="AG14:AI14"/>
    <mergeCell ref="AJ14:AL14"/>
    <mergeCell ref="J13:Q13"/>
    <mergeCell ref="J14:Q14"/>
    <mergeCell ref="A15:B15"/>
    <mergeCell ref="C15:E15"/>
    <mergeCell ref="F15:I15"/>
    <mergeCell ref="R15:AC15"/>
    <mergeCell ref="AD15:AF15"/>
    <mergeCell ref="AG15:AI15"/>
    <mergeCell ref="AJ15:AL15"/>
    <mergeCell ref="J15:Q15"/>
    <mergeCell ref="A16:B16"/>
    <mergeCell ref="C16:E16"/>
    <mergeCell ref="F16:I16"/>
    <mergeCell ref="R16:AC16"/>
    <mergeCell ref="AD16:AF16"/>
    <mergeCell ref="AG16:AI16"/>
    <mergeCell ref="AJ16:AL16"/>
    <mergeCell ref="J16:Q16"/>
    <mergeCell ref="AG22:AI22"/>
    <mergeCell ref="AJ22:AL22"/>
    <mergeCell ref="C23:E23"/>
    <mergeCell ref="F23:I23"/>
    <mergeCell ref="R23:AC23"/>
    <mergeCell ref="AD23:AF23"/>
    <mergeCell ref="C22:E22"/>
    <mergeCell ref="F22:I22"/>
    <mergeCell ref="R22:AC22"/>
    <mergeCell ref="AG23:AI23"/>
    <mergeCell ref="AJ23:AL23"/>
    <mergeCell ref="J22:Q22"/>
    <mergeCell ref="J23:Q23"/>
    <mergeCell ref="A24:B24"/>
    <mergeCell ref="C24:E24"/>
    <mergeCell ref="F24:I24"/>
    <mergeCell ref="R24:AC24"/>
    <mergeCell ref="AD24:AF24"/>
    <mergeCell ref="AG24:AI24"/>
    <mergeCell ref="AJ24:AL24"/>
    <mergeCell ref="J24:Q24"/>
    <mergeCell ref="A25:B25"/>
    <mergeCell ref="C25:E25"/>
    <mergeCell ref="F25:I25"/>
    <mergeCell ref="R25:AC25"/>
    <mergeCell ref="AD25:AF25"/>
    <mergeCell ref="AG25:AI25"/>
    <mergeCell ref="AJ25:AL25"/>
    <mergeCell ref="J25:Q25"/>
    <mergeCell ref="AD26:AF26"/>
    <mergeCell ref="AG26:AI26"/>
    <mergeCell ref="AJ26:AL26"/>
    <mergeCell ref="A27:B27"/>
    <mergeCell ref="C27:E27"/>
    <mergeCell ref="F27:I27"/>
    <mergeCell ref="R27:AC27"/>
    <mergeCell ref="AD27:AF27"/>
    <mergeCell ref="A26:B26"/>
    <mergeCell ref="C26:E26"/>
    <mergeCell ref="F26:I26"/>
    <mergeCell ref="R26:AC26"/>
    <mergeCell ref="AG27:AI27"/>
    <mergeCell ref="AJ27:AL27"/>
    <mergeCell ref="J26:Q26"/>
    <mergeCell ref="J27:Q27"/>
    <mergeCell ref="A28:B28"/>
    <mergeCell ref="C28:E28"/>
    <mergeCell ref="F28:I28"/>
    <mergeCell ref="R28:AC28"/>
    <mergeCell ref="AD28:AF28"/>
    <mergeCell ref="AG28:AI28"/>
    <mergeCell ref="AJ28:AL28"/>
    <mergeCell ref="J28:Q28"/>
    <mergeCell ref="A29:B29"/>
    <mergeCell ref="C29:E29"/>
    <mergeCell ref="F29:I29"/>
    <mergeCell ref="R29:AC29"/>
    <mergeCell ref="AD29:AF29"/>
    <mergeCell ref="AG29:AI29"/>
    <mergeCell ref="AJ29:AL29"/>
    <mergeCell ref="J29:Q29"/>
    <mergeCell ref="AD30:AF30"/>
    <mergeCell ref="AG30:AI30"/>
    <mergeCell ref="AJ30:AL30"/>
    <mergeCell ref="A31:B31"/>
    <mergeCell ref="C31:E31"/>
    <mergeCell ref="F31:I31"/>
    <mergeCell ref="R31:AC31"/>
    <mergeCell ref="AD31:AF31"/>
    <mergeCell ref="A30:B30"/>
    <mergeCell ref="C30:E30"/>
    <mergeCell ref="F30:I30"/>
    <mergeCell ref="R30:AC30"/>
    <mergeCell ref="AG31:AI31"/>
    <mergeCell ref="AJ31:AL31"/>
    <mergeCell ref="J30:Q30"/>
    <mergeCell ref="J31:Q31"/>
    <mergeCell ref="A32:B32"/>
    <mergeCell ref="C32:E32"/>
    <mergeCell ref="F32:I32"/>
    <mergeCell ref="R32:AC32"/>
    <mergeCell ref="AD32:AF32"/>
    <mergeCell ref="AG32:AI32"/>
    <mergeCell ref="AJ32:AL32"/>
    <mergeCell ref="J32:Q32"/>
    <mergeCell ref="A33:B33"/>
    <mergeCell ref="C33:E33"/>
    <mergeCell ref="F33:I33"/>
    <mergeCell ref="R33:AC33"/>
    <mergeCell ref="AD33:AF33"/>
    <mergeCell ref="AG33:AI33"/>
    <mergeCell ref="AJ33:AL33"/>
    <mergeCell ref="J33:Q33"/>
    <mergeCell ref="AD34:AF34"/>
    <mergeCell ref="AG34:AI34"/>
    <mergeCell ref="AJ34:AL34"/>
    <mergeCell ref="A34:B34"/>
    <mergeCell ref="C34:E34"/>
    <mergeCell ref="F34:I34"/>
    <mergeCell ref="R34:AC34"/>
    <mergeCell ref="J34:Q34"/>
    <mergeCell ref="A17:B17"/>
    <mergeCell ref="C17:E17"/>
    <mergeCell ref="F17:I17"/>
    <mergeCell ref="R17:AC17"/>
    <mergeCell ref="AD17:AF17"/>
    <mergeCell ref="AG17:AI17"/>
    <mergeCell ref="AJ17:AL17"/>
    <mergeCell ref="J17:Q17"/>
    <mergeCell ref="A18:B18"/>
    <mergeCell ref="C18:E18"/>
    <mergeCell ref="F18:I18"/>
    <mergeCell ref="R18:AC18"/>
    <mergeCell ref="AD18:AF18"/>
    <mergeCell ref="AG18:AI18"/>
    <mergeCell ref="AJ18:AL18"/>
    <mergeCell ref="J18:Q18"/>
    <mergeCell ref="AG19:AI19"/>
    <mergeCell ref="AJ19:AL19"/>
    <mergeCell ref="J19:Q19"/>
    <mergeCell ref="AG21:AI21"/>
    <mergeCell ref="AJ21:AL21"/>
    <mergeCell ref="A20:B20"/>
    <mergeCell ref="C20:E20"/>
    <mergeCell ref="F20:I20"/>
    <mergeCell ref="R20:AC20"/>
    <mergeCell ref="AD20:AF20"/>
    <mergeCell ref="AG20:AI20"/>
    <mergeCell ref="AJ20:AL20"/>
    <mergeCell ref="J20:Q20"/>
    <mergeCell ref="J21:Q21"/>
    <mergeCell ref="A23:B23"/>
    <mergeCell ref="A22:B22"/>
    <mergeCell ref="A21:B21"/>
    <mergeCell ref="C21:E21"/>
    <mergeCell ref="F21:I21"/>
    <mergeCell ref="R21:AC21"/>
    <mergeCell ref="AD21:AF21"/>
    <mergeCell ref="AD22:AF22"/>
    <mergeCell ref="A19:B19"/>
    <mergeCell ref="C19:E19"/>
    <mergeCell ref="F19:I19"/>
    <mergeCell ref="R19:AC19"/>
    <mergeCell ref="AD19:AF19"/>
  </mergeCells>
  <conditionalFormatting sqref="AG5:AG16 AD5:AD16 AJ5:AJ16 AJ22:AJ34 AD22:AD34 AG22:AG34">
    <cfRule type="cellIs" dxfId="18" priority="10" operator="equal">
      <formula>"High"</formula>
    </cfRule>
    <cfRule type="cellIs" dxfId="17" priority="11" operator="equal">
      <formula>"Medium"</formula>
    </cfRule>
    <cfRule type="cellIs" dxfId="16" priority="12" operator="equal">
      <formula>"Low"</formula>
    </cfRule>
  </conditionalFormatting>
  <conditionalFormatting sqref="AG5:AG16 AJ5:AJ16 AJ22:AJ34 AG22:AG34">
    <cfRule type="cellIs" dxfId="15" priority="7" operator="equal">
      <formula>"Research"</formula>
    </cfRule>
    <cfRule type="cellIs" dxfId="14" priority="8" operator="equal">
      <formula>"In Process"</formula>
    </cfRule>
    <cfRule type="cellIs" dxfId="13" priority="9" operator="equal">
      <formula>"Resolved"</formula>
    </cfRule>
  </conditionalFormatting>
  <conditionalFormatting sqref="AJ17:AJ21 AD17:AD21 AG17:AG21">
    <cfRule type="cellIs" dxfId="12" priority="4" operator="equal">
      <formula>"High"</formula>
    </cfRule>
    <cfRule type="cellIs" dxfId="11" priority="5" operator="equal">
      <formula>"Medium"</formula>
    </cfRule>
    <cfRule type="cellIs" dxfId="10" priority="6" operator="equal">
      <formula>"Low"</formula>
    </cfRule>
  </conditionalFormatting>
  <conditionalFormatting sqref="AJ17:AJ21 AG17:AG21">
    <cfRule type="cellIs" dxfId="9" priority="1" operator="equal">
      <formula>"Research"</formula>
    </cfRule>
    <cfRule type="cellIs" dxfId="8" priority="2" operator="equal">
      <formula>"In Process"</formula>
    </cfRule>
    <cfRule type="cellIs" dxfId="7" priority="3" operator="equal">
      <formula>"Resolved"</formula>
    </cfRule>
  </conditionalFormatting>
  <dataValidations count="3">
    <dataValidation type="list" allowBlank="1" showInputMessage="1" showErrorMessage="1" sqref="AD5:AF34" xr:uid="{00000000-0002-0000-0A00-000001000000}">
      <formula1>"High, Medium, Low, General Comment, Suggestion"</formula1>
    </dataValidation>
    <dataValidation type="list" allowBlank="1" showInputMessage="1" showErrorMessage="1" sqref="AG5:AG34" xr:uid="{00000000-0002-0000-0A00-000002000000}">
      <formula1>"Resolved, In Process, Research"</formula1>
    </dataValidation>
    <dataValidation type="list" allowBlank="1" showInputMessage="1" showErrorMessage="1" sqref="F5:I34" xr:uid="{8C753786-843F-46BD-8CA8-30D7A8AD6FDD}">
      <formula1>$AO$3:$AO$17</formula1>
    </dataValidation>
  </dataValidations>
  <pageMargins left="0.25" right="0.25" top="0.5" bottom="0.3" header="0" footer="0"/>
  <pageSetup scale="65" fitToHeight="0" orientation="portrait" r:id="rId1"/>
  <headerFooter scaleWithDoc="0" alignWithMargins="0">
    <oddFooter>&amp;L&amp;9Homekey Round 2&amp;C&amp;9Page &amp;P of &amp;N&amp;R&amp;"Arial,Italic"&amp;9&amp;A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E3775-9935-4312-B9C5-8872DD0F7401}">
  <sheetPr codeName="Sheet7">
    <tabColor rgb="FFC00000"/>
    <pageSetUpPr fitToPage="1"/>
  </sheetPr>
  <dimension ref="A1:AU70"/>
  <sheetViews>
    <sheetView showGridLines="0" zoomScaleNormal="100" zoomScaleSheetLayoutView="100" workbookViewId="0">
      <selection activeCell="AK4" sqref="AK4:AL4"/>
    </sheetView>
  </sheetViews>
  <sheetFormatPr defaultColWidth="10.26953125" defaultRowHeight="14"/>
  <cols>
    <col min="1" max="38" width="4.1796875" style="428" customWidth="1"/>
    <col min="39" max="16384" width="10.26953125" style="428"/>
  </cols>
  <sheetData>
    <row r="1" spans="1:38" ht="18.5" thickBot="1">
      <c r="A1" s="1999" t="s">
        <v>2257</v>
      </c>
      <c r="B1" s="2000"/>
      <c r="C1" s="2000"/>
      <c r="D1" s="2000"/>
      <c r="E1" s="2000"/>
      <c r="F1" s="2000"/>
      <c r="G1" s="2000"/>
      <c r="H1" s="2000"/>
      <c r="I1" s="2000"/>
      <c r="J1" s="2000"/>
      <c r="K1" s="2000"/>
      <c r="L1" s="2000"/>
      <c r="M1" s="2000"/>
      <c r="N1" s="2000"/>
      <c r="O1" s="2000"/>
      <c r="P1" s="2000"/>
      <c r="Q1" s="2000"/>
      <c r="R1" s="2000"/>
      <c r="S1" s="2000"/>
      <c r="T1" s="2000"/>
      <c r="U1" s="2000"/>
      <c r="V1" s="2000"/>
      <c r="W1" s="2000"/>
      <c r="X1" s="2000"/>
      <c r="Y1" s="2000"/>
      <c r="Z1" s="2000"/>
      <c r="AA1" s="2000"/>
      <c r="AB1" s="2000"/>
      <c r="AC1" s="2000"/>
      <c r="AD1" s="2000"/>
      <c r="AE1" s="2000"/>
      <c r="AF1" s="2000"/>
      <c r="AG1" s="2000"/>
      <c r="AH1" s="2000"/>
      <c r="AI1" s="2000"/>
      <c r="AJ1" s="2000"/>
      <c r="AK1" s="2001">
        <f>CoverPage!B11</f>
        <v>44471</v>
      </c>
      <c r="AL1" s="2002"/>
    </row>
    <row r="2" spans="1:38" ht="43.5" customHeight="1" thickBot="1">
      <c r="A2" s="2043" t="s">
        <v>2258</v>
      </c>
      <c r="B2" s="2044"/>
      <c r="C2" s="2044"/>
      <c r="D2" s="2044"/>
      <c r="E2" s="2044"/>
      <c r="F2" s="2044"/>
      <c r="G2" s="2044"/>
      <c r="H2" s="2044"/>
      <c r="I2" s="2044"/>
      <c r="J2" s="2044"/>
      <c r="K2" s="2044"/>
      <c r="L2" s="2044"/>
      <c r="M2" s="2044"/>
      <c r="N2" s="2044"/>
      <c r="O2" s="2044"/>
      <c r="P2" s="2044"/>
      <c r="Q2" s="2044"/>
      <c r="R2" s="2044"/>
      <c r="S2" s="2044"/>
      <c r="T2" s="2044"/>
      <c r="U2" s="2044"/>
      <c r="V2" s="2044"/>
      <c r="W2" s="2044"/>
      <c r="X2" s="2044"/>
      <c r="Y2" s="2044"/>
      <c r="Z2" s="2044"/>
      <c r="AA2" s="2044"/>
      <c r="AB2" s="2044"/>
      <c r="AC2" s="2044"/>
      <c r="AD2" s="2044"/>
      <c r="AE2" s="2044"/>
      <c r="AF2" s="2044"/>
      <c r="AG2" s="2044"/>
      <c r="AH2" s="2044"/>
      <c r="AI2" s="2044"/>
      <c r="AJ2" s="2044"/>
      <c r="AK2" s="2044"/>
      <c r="AL2" s="2045"/>
    </row>
    <row r="3" spans="1:38" ht="18" customHeight="1">
      <c r="A3" s="2003" t="s">
        <v>2259</v>
      </c>
      <c r="B3" s="2004"/>
      <c r="C3" s="2004"/>
      <c r="D3" s="2004"/>
      <c r="E3" s="2004"/>
      <c r="F3" s="2004"/>
      <c r="G3" s="2004"/>
      <c r="H3" s="2004"/>
      <c r="I3" s="2004"/>
      <c r="J3" s="2004"/>
      <c r="K3" s="2004"/>
      <c r="L3" s="2004"/>
      <c r="M3" s="2004"/>
      <c r="N3" s="2004"/>
      <c r="O3" s="2004"/>
      <c r="P3" s="2004"/>
      <c r="Q3" s="2004"/>
      <c r="R3" s="2004"/>
      <c r="S3" s="2004"/>
      <c r="T3" s="2004"/>
      <c r="U3" s="2004"/>
      <c r="V3" s="2004"/>
      <c r="W3" s="2004"/>
      <c r="X3" s="2004"/>
      <c r="Y3" s="2004"/>
      <c r="Z3" s="2004"/>
      <c r="AA3" s="2004"/>
      <c r="AB3" s="2004"/>
      <c r="AC3" s="2004"/>
      <c r="AD3" s="2004"/>
      <c r="AE3" s="2004"/>
      <c r="AF3" s="2004"/>
      <c r="AG3" s="2004"/>
      <c r="AH3" s="2004"/>
      <c r="AI3" s="2004"/>
      <c r="AJ3" s="2004"/>
      <c r="AK3" s="2004"/>
      <c r="AL3" s="2005"/>
    </row>
    <row r="4" spans="1:38" s="336" customFormat="1" ht="15" customHeight="1">
      <c r="A4" s="2006" t="s">
        <v>109</v>
      </c>
      <c r="B4" s="2007"/>
      <c r="C4" s="2008"/>
      <c r="D4" s="810" t="s">
        <v>110</v>
      </c>
      <c r="E4" s="761"/>
      <c r="F4" s="761"/>
      <c r="G4" s="761"/>
      <c r="H4" s="761"/>
      <c r="I4" s="761"/>
      <c r="J4" s="761"/>
      <c r="K4" s="761"/>
      <c r="L4" s="824" t="s">
        <v>111</v>
      </c>
      <c r="M4" s="825"/>
      <c r="N4" s="825"/>
      <c r="O4" s="825"/>
      <c r="P4" s="825"/>
      <c r="Q4" s="825"/>
      <c r="R4" s="825"/>
      <c r="S4" s="825"/>
      <c r="T4" s="825"/>
      <c r="U4" s="825"/>
      <c r="V4" s="825"/>
      <c r="W4" s="825"/>
      <c r="X4" s="825"/>
      <c r="Y4" s="825"/>
      <c r="Z4" s="825"/>
      <c r="AA4" s="825"/>
      <c r="AB4" s="825"/>
      <c r="AC4" s="825"/>
      <c r="AD4" s="825"/>
      <c r="AE4" s="2017"/>
      <c r="AF4" s="856" t="s">
        <v>112</v>
      </c>
      <c r="AG4" s="856"/>
      <c r="AH4" s="856"/>
      <c r="AI4" s="856"/>
      <c r="AJ4" s="2018"/>
      <c r="AK4" s="1997" t="str">
        <f>IF(Overview!AK53="","",Overview!AK53)</f>
        <v/>
      </c>
      <c r="AL4" s="1998"/>
    </row>
    <row r="5" spans="1:38" s="336" customFormat="1" ht="15" customHeight="1">
      <c r="A5" s="2006" t="s">
        <v>109</v>
      </c>
      <c r="B5" s="2007"/>
      <c r="C5" s="2008"/>
      <c r="D5" s="810" t="s">
        <v>113</v>
      </c>
      <c r="E5" s="761"/>
      <c r="F5" s="761"/>
      <c r="G5" s="761"/>
      <c r="H5" s="761"/>
      <c r="I5" s="761"/>
      <c r="J5" s="761"/>
      <c r="K5" s="761"/>
      <c r="L5" s="824" t="s">
        <v>114</v>
      </c>
      <c r="M5" s="825"/>
      <c r="N5" s="825"/>
      <c r="O5" s="825"/>
      <c r="P5" s="825"/>
      <c r="Q5" s="825"/>
      <c r="R5" s="825"/>
      <c r="S5" s="825"/>
      <c r="T5" s="825"/>
      <c r="U5" s="825"/>
      <c r="V5" s="825"/>
      <c r="W5" s="825"/>
      <c r="X5" s="825"/>
      <c r="Y5" s="825"/>
      <c r="Z5" s="825"/>
      <c r="AA5" s="825"/>
      <c r="AB5" s="825"/>
      <c r="AC5" s="825"/>
      <c r="AD5" s="825"/>
      <c r="AE5" s="2017"/>
      <c r="AF5" s="856" t="s">
        <v>112</v>
      </c>
      <c r="AG5" s="856"/>
      <c r="AH5" s="856"/>
      <c r="AI5" s="856"/>
      <c r="AJ5" s="2018"/>
      <c r="AK5" s="1997" t="str">
        <f>IF(Overview!AK54="","",Overview!AK54)</f>
        <v/>
      </c>
      <c r="AL5" s="1998"/>
    </row>
    <row r="6" spans="1:38" s="336" customFormat="1" ht="15" customHeight="1">
      <c r="A6" s="2006" t="s">
        <v>109</v>
      </c>
      <c r="B6" s="2007"/>
      <c r="C6" s="2008"/>
      <c r="D6" s="810" t="s">
        <v>115</v>
      </c>
      <c r="E6" s="761"/>
      <c r="F6" s="761"/>
      <c r="G6" s="761"/>
      <c r="H6" s="761"/>
      <c r="I6" s="761"/>
      <c r="J6" s="761"/>
      <c r="K6" s="761"/>
      <c r="L6" s="824" t="s">
        <v>116</v>
      </c>
      <c r="M6" s="825"/>
      <c r="N6" s="825"/>
      <c r="O6" s="825"/>
      <c r="P6" s="825"/>
      <c r="Q6" s="825"/>
      <c r="R6" s="825"/>
      <c r="S6" s="825"/>
      <c r="T6" s="825"/>
      <c r="U6" s="825"/>
      <c r="V6" s="825"/>
      <c r="W6" s="825"/>
      <c r="X6" s="825"/>
      <c r="Y6" s="825"/>
      <c r="Z6" s="825"/>
      <c r="AA6" s="825"/>
      <c r="AB6" s="825"/>
      <c r="AC6" s="825"/>
      <c r="AD6" s="825"/>
      <c r="AE6" s="2017"/>
      <c r="AF6" s="856" t="s">
        <v>112</v>
      </c>
      <c r="AG6" s="856"/>
      <c r="AH6" s="856"/>
      <c r="AI6" s="856"/>
      <c r="AJ6" s="2018"/>
      <c r="AK6" s="1997" t="str">
        <f>IF(Overview!AK55="","",Overview!AK55)</f>
        <v/>
      </c>
      <c r="AL6" s="1998"/>
    </row>
    <row r="7" spans="1:38" s="336" customFormat="1" ht="15" customHeight="1">
      <c r="A7" s="2006" t="s">
        <v>109</v>
      </c>
      <c r="B7" s="2007"/>
      <c r="C7" s="2008"/>
      <c r="D7" s="810" t="s">
        <v>118</v>
      </c>
      <c r="E7" s="761"/>
      <c r="F7" s="761"/>
      <c r="G7" s="761"/>
      <c r="H7" s="761"/>
      <c r="I7" s="761"/>
      <c r="J7" s="761"/>
      <c r="K7" s="761"/>
      <c r="L7" s="824" t="s">
        <v>111</v>
      </c>
      <c r="M7" s="825"/>
      <c r="N7" s="825"/>
      <c r="O7" s="825"/>
      <c r="P7" s="825"/>
      <c r="Q7" s="825"/>
      <c r="R7" s="825"/>
      <c r="S7" s="825"/>
      <c r="T7" s="825"/>
      <c r="U7" s="825"/>
      <c r="V7" s="825"/>
      <c r="W7" s="825"/>
      <c r="X7" s="825"/>
      <c r="Y7" s="825"/>
      <c r="Z7" s="825"/>
      <c r="AA7" s="825"/>
      <c r="AB7" s="825"/>
      <c r="AC7" s="825"/>
      <c r="AD7" s="825"/>
      <c r="AE7" s="2017"/>
      <c r="AF7" s="856" t="s">
        <v>112</v>
      </c>
      <c r="AG7" s="856"/>
      <c r="AH7" s="856"/>
      <c r="AI7" s="856"/>
      <c r="AJ7" s="2018"/>
      <c r="AK7" s="1997" t="str">
        <f>IF(Overview!AK62="","",Overview!AK62)</f>
        <v/>
      </c>
      <c r="AL7" s="1998"/>
    </row>
    <row r="8" spans="1:38" s="336" customFormat="1" ht="15" customHeight="1">
      <c r="A8" s="2006" t="s">
        <v>109</v>
      </c>
      <c r="B8" s="2007"/>
      <c r="C8" s="2008"/>
      <c r="D8" s="810" t="s">
        <v>119</v>
      </c>
      <c r="E8" s="761"/>
      <c r="F8" s="761"/>
      <c r="G8" s="761"/>
      <c r="H8" s="761"/>
      <c r="I8" s="761"/>
      <c r="J8" s="761"/>
      <c r="K8" s="761"/>
      <c r="L8" s="824" t="s">
        <v>114</v>
      </c>
      <c r="M8" s="825"/>
      <c r="N8" s="825"/>
      <c r="O8" s="825"/>
      <c r="P8" s="825"/>
      <c r="Q8" s="825"/>
      <c r="R8" s="825"/>
      <c r="S8" s="825"/>
      <c r="T8" s="825"/>
      <c r="U8" s="825"/>
      <c r="V8" s="825"/>
      <c r="W8" s="825"/>
      <c r="X8" s="825"/>
      <c r="Y8" s="825"/>
      <c r="Z8" s="825"/>
      <c r="AA8" s="825"/>
      <c r="AB8" s="825"/>
      <c r="AC8" s="825"/>
      <c r="AD8" s="825"/>
      <c r="AE8" s="2017"/>
      <c r="AF8" s="856" t="s">
        <v>112</v>
      </c>
      <c r="AG8" s="856"/>
      <c r="AH8" s="856"/>
      <c r="AI8" s="856"/>
      <c r="AJ8" s="2018"/>
      <c r="AK8" s="1997" t="str">
        <f>IF(Overview!AK63="","",Overview!AK63)</f>
        <v/>
      </c>
      <c r="AL8" s="1998"/>
    </row>
    <row r="9" spans="1:38" s="336" customFormat="1" ht="15" customHeight="1">
      <c r="A9" s="2006" t="s">
        <v>109</v>
      </c>
      <c r="B9" s="2007"/>
      <c r="C9" s="2008"/>
      <c r="D9" s="810" t="s">
        <v>2260</v>
      </c>
      <c r="E9" s="761"/>
      <c r="F9" s="761"/>
      <c r="G9" s="761"/>
      <c r="H9" s="761"/>
      <c r="I9" s="761"/>
      <c r="J9" s="761"/>
      <c r="K9" s="761"/>
      <c r="L9" s="824" t="s">
        <v>116</v>
      </c>
      <c r="M9" s="825"/>
      <c r="N9" s="825"/>
      <c r="O9" s="825"/>
      <c r="P9" s="825"/>
      <c r="Q9" s="825"/>
      <c r="R9" s="825"/>
      <c r="S9" s="825"/>
      <c r="T9" s="825"/>
      <c r="U9" s="825"/>
      <c r="V9" s="825"/>
      <c r="W9" s="825"/>
      <c r="X9" s="825"/>
      <c r="Y9" s="825"/>
      <c r="Z9" s="825"/>
      <c r="AA9" s="825"/>
      <c r="AB9" s="825"/>
      <c r="AC9" s="825"/>
      <c r="AD9" s="825"/>
      <c r="AE9" s="2017"/>
      <c r="AF9" s="856" t="s">
        <v>112</v>
      </c>
      <c r="AG9" s="856"/>
      <c r="AH9" s="856"/>
      <c r="AI9" s="856"/>
      <c r="AJ9" s="2018"/>
      <c r="AK9" s="1997" t="str">
        <f>IF(Overview!AK64="","",Overview!AK64)</f>
        <v/>
      </c>
      <c r="AL9" s="1998"/>
    </row>
    <row r="10" spans="1:38" s="336" customFormat="1" ht="15" customHeight="1">
      <c r="A10" s="2006" t="s">
        <v>109</v>
      </c>
      <c r="B10" s="2007"/>
      <c r="C10" s="2008"/>
      <c r="D10" s="810" t="s">
        <v>121</v>
      </c>
      <c r="E10" s="761"/>
      <c r="F10" s="761"/>
      <c r="G10" s="761"/>
      <c r="H10" s="761"/>
      <c r="I10" s="761"/>
      <c r="J10" s="761"/>
      <c r="K10" s="761"/>
      <c r="L10" s="824" t="s">
        <v>116</v>
      </c>
      <c r="M10" s="825"/>
      <c r="N10" s="825"/>
      <c r="O10" s="825"/>
      <c r="P10" s="825"/>
      <c r="Q10" s="825"/>
      <c r="R10" s="825"/>
      <c r="S10" s="825"/>
      <c r="T10" s="825"/>
      <c r="U10" s="825"/>
      <c r="V10" s="825"/>
      <c r="W10" s="825"/>
      <c r="X10" s="825"/>
      <c r="Y10" s="825"/>
      <c r="Z10" s="825"/>
      <c r="AA10" s="825"/>
      <c r="AB10" s="825"/>
      <c r="AC10" s="825"/>
      <c r="AD10" s="825"/>
      <c r="AE10" s="2017"/>
      <c r="AF10" s="856" t="s">
        <v>112</v>
      </c>
      <c r="AG10" s="856"/>
      <c r="AH10" s="856"/>
      <c r="AI10" s="856"/>
      <c r="AJ10" s="2018"/>
      <c r="AK10" s="1997" t="str">
        <f>IF(Overview!AK65="","",Overview!AK65)</f>
        <v/>
      </c>
      <c r="AL10" s="1998"/>
    </row>
    <row r="11" spans="1:38" s="336" customFormat="1" ht="15" customHeight="1">
      <c r="A11" s="2006" t="s">
        <v>109</v>
      </c>
      <c r="B11" s="2007"/>
      <c r="C11" s="2008"/>
      <c r="D11" s="810" t="s">
        <v>122</v>
      </c>
      <c r="E11" s="761"/>
      <c r="F11" s="761"/>
      <c r="G11" s="761"/>
      <c r="H11" s="761"/>
      <c r="I11" s="761"/>
      <c r="J11" s="761"/>
      <c r="K11" s="761"/>
      <c r="L11" s="824" t="s">
        <v>116</v>
      </c>
      <c r="M11" s="825"/>
      <c r="N11" s="825"/>
      <c r="O11" s="825"/>
      <c r="P11" s="825"/>
      <c r="Q11" s="825"/>
      <c r="R11" s="825"/>
      <c r="S11" s="825"/>
      <c r="T11" s="825"/>
      <c r="U11" s="825"/>
      <c r="V11" s="825"/>
      <c r="W11" s="825"/>
      <c r="X11" s="825"/>
      <c r="Y11" s="825"/>
      <c r="Z11" s="825"/>
      <c r="AA11" s="825"/>
      <c r="AB11" s="825"/>
      <c r="AC11" s="825"/>
      <c r="AD11" s="825"/>
      <c r="AE11" s="2017"/>
      <c r="AF11" s="856" t="s">
        <v>112</v>
      </c>
      <c r="AG11" s="856"/>
      <c r="AH11" s="856"/>
      <c r="AI11" s="856"/>
      <c r="AJ11" s="2018"/>
      <c r="AK11" s="1997" t="str">
        <f>IF(Overview!AK66="","",Overview!AK66)</f>
        <v/>
      </c>
      <c r="AL11" s="1998"/>
    </row>
    <row r="12" spans="1:38" s="336" customFormat="1" ht="15" customHeight="1">
      <c r="A12" s="2006" t="s">
        <v>109</v>
      </c>
      <c r="B12" s="2007"/>
      <c r="C12" s="2008"/>
      <c r="D12" s="810" t="s">
        <v>123</v>
      </c>
      <c r="E12" s="761"/>
      <c r="F12" s="761"/>
      <c r="G12" s="761"/>
      <c r="H12" s="761"/>
      <c r="I12" s="761"/>
      <c r="J12" s="761"/>
      <c r="K12" s="761"/>
      <c r="L12" s="824" t="s">
        <v>116</v>
      </c>
      <c r="M12" s="825"/>
      <c r="N12" s="825"/>
      <c r="O12" s="825"/>
      <c r="P12" s="825"/>
      <c r="Q12" s="825"/>
      <c r="R12" s="825"/>
      <c r="S12" s="825"/>
      <c r="T12" s="825"/>
      <c r="U12" s="825"/>
      <c r="V12" s="825"/>
      <c r="W12" s="825"/>
      <c r="X12" s="825"/>
      <c r="Y12" s="825"/>
      <c r="Z12" s="825"/>
      <c r="AA12" s="825"/>
      <c r="AB12" s="825"/>
      <c r="AC12" s="825"/>
      <c r="AD12" s="825"/>
      <c r="AE12" s="2017"/>
      <c r="AF12" s="856" t="s">
        <v>112</v>
      </c>
      <c r="AG12" s="856"/>
      <c r="AH12" s="856"/>
      <c r="AI12" s="856"/>
      <c r="AJ12" s="2018"/>
      <c r="AK12" s="1997" t="str">
        <f>IF(Overview!AK67="","",Overview!AK67)</f>
        <v/>
      </c>
      <c r="AL12" s="1998"/>
    </row>
    <row r="13" spans="1:38" s="336" customFormat="1" ht="15" customHeight="1">
      <c r="A13" s="2006" t="s">
        <v>109</v>
      </c>
      <c r="B13" s="2007"/>
      <c r="C13" s="2008"/>
      <c r="D13" s="810" t="s">
        <v>124</v>
      </c>
      <c r="E13" s="761"/>
      <c r="F13" s="761"/>
      <c r="G13" s="761"/>
      <c r="H13" s="761"/>
      <c r="I13" s="761"/>
      <c r="J13" s="761"/>
      <c r="K13" s="761"/>
      <c r="L13" s="824" t="s">
        <v>116</v>
      </c>
      <c r="M13" s="825"/>
      <c r="N13" s="825"/>
      <c r="O13" s="825"/>
      <c r="P13" s="825"/>
      <c r="Q13" s="825"/>
      <c r="R13" s="825"/>
      <c r="S13" s="825"/>
      <c r="T13" s="825"/>
      <c r="U13" s="825"/>
      <c r="V13" s="825"/>
      <c r="W13" s="825"/>
      <c r="X13" s="825"/>
      <c r="Y13" s="825"/>
      <c r="Z13" s="825"/>
      <c r="AA13" s="825"/>
      <c r="AB13" s="825"/>
      <c r="AC13" s="825"/>
      <c r="AD13" s="825"/>
      <c r="AE13" s="2017"/>
      <c r="AF13" s="856" t="s">
        <v>112</v>
      </c>
      <c r="AG13" s="856"/>
      <c r="AH13" s="856"/>
      <c r="AI13" s="856"/>
      <c r="AJ13" s="2018"/>
      <c r="AK13" s="1997" t="str">
        <f>IF(Overview!AK68="","",Overview!AK68)</f>
        <v/>
      </c>
      <c r="AL13" s="1998"/>
    </row>
    <row r="14" spans="1:38" s="336" customFormat="1" ht="15" customHeight="1">
      <c r="A14" s="2006" t="s">
        <v>109</v>
      </c>
      <c r="B14" s="2007"/>
      <c r="C14" s="2008"/>
      <c r="D14" s="810" t="s">
        <v>125</v>
      </c>
      <c r="E14" s="761"/>
      <c r="F14" s="761"/>
      <c r="G14" s="761"/>
      <c r="H14" s="761"/>
      <c r="I14" s="761"/>
      <c r="J14" s="761"/>
      <c r="K14" s="761"/>
      <c r="L14" s="824" t="s">
        <v>126</v>
      </c>
      <c r="M14" s="825"/>
      <c r="N14" s="825"/>
      <c r="O14" s="825"/>
      <c r="P14" s="825"/>
      <c r="Q14" s="825"/>
      <c r="R14" s="825"/>
      <c r="S14" s="825"/>
      <c r="T14" s="825"/>
      <c r="U14" s="825"/>
      <c r="V14" s="825"/>
      <c r="W14" s="825"/>
      <c r="X14" s="825"/>
      <c r="Y14" s="825"/>
      <c r="Z14" s="825"/>
      <c r="AA14" s="825"/>
      <c r="AB14" s="825"/>
      <c r="AC14" s="825"/>
      <c r="AD14" s="825"/>
      <c r="AE14" s="2017"/>
      <c r="AF14" s="856" t="s">
        <v>112</v>
      </c>
      <c r="AG14" s="856"/>
      <c r="AH14" s="856"/>
      <c r="AI14" s="856"/>
      <c r="AJ14" s="2018"/>
      <c r="AK14" s="1997" t="str">
        <f>IF(Overview!AK69="","",Overview!AK69)</f>
        <v/>
      </c>
      <c r="AL14" s="1998"/>
    </row>
    <row r="15" spans="1:38" s="336" customFormat="1" ht="15" customHeight="1">
      <c r="A15" s="2006" t="s">
        <v>109</v>
      </c>
      <c r="B15" s="2007"/>
      <c r="C15" s="2008"/>
      <c r="D15" s="810" t="s">
        <v>127</v>
      </c>
      <c r="E15" s="761"/>
      <c r="F15" s="761"/>
      <c r="G15" s="761"/>
      <c r="H15" s="761"/>
      <c r="I15" s="761"/>
      <c r="J15" s="761"/>
      <c r="K15" s="761"/>
      <c r="L15" s="824" t="s">
        <v>128</v>
      </c>
      <c r="M15" s="825"/>
      <c r="N15" s="825"/>
      <c r="O15" s="825"/>
      <c r="P15" s="825"/>
      <c r="Q15" s="825"/>
      <c r="R15" s="825"/>
      <c r="S15" s="825"/>
      <c r="T15" s="825"/>
      <c r="U15" s="825"/>
      <c r="V15" s="825"/>
      <c r="W15" s="825"/>
      <c r="X15" s="825"/>
      <c r="Y15" s="825"/>
      <c r="Z15" s="825"/>
      <c r="AA15" s="825"/>
      <c r="AB15" s="825"/>
      <c r="AC15" s="825"/>
      <c r="AD15" s="825"/>
      <c r="AE15" s="2017"/>
      <c r="AF15" s="856" t="s">
        <v>112</v>
      </c>
      <c r="AG15" s="856"/>
      <c r="AH15" s="856"/>
      <c r="AI15" s="856"/>
      <c r="AJ15" s="2018"/>
      <c r="AK15" s="1997" t="str">
        <f>IF(Overview!AK70="","",Overview!AK70)</f>
        <v/>
      </c>
      <c r="AL15" s="1998"/>
    </row>
    <row r="16" spans="1:38" s="336" customFormat="1" ht="15" customHeight="1">
      <c r="A16" s="2006" t="s">
        <v>109</v>
      </c>
      <c r="B16" s="2007"/>
      <c r="C16" s="2008"/>
      <c r="D16" s="810" t="s">
        <v>130</v>
      </c>
      <c r="E16" s="761"/>
      <c r="F16" s="761"/>
      <c r="G16" s="761"/>
      <c r="H16" s="761"/>
      <c r="I16" s="761"/>
      <c r="J16" s="761"/>
      <c r="K16" s="761"/>
      <c r="L16" s="824" t="s">
        <v>111</v>
      </c>
      <c r="M16" s="825"/>
      <c r="N16" s="825"/>
      <c r="O16" s="825"/>
      <c r="P16" s="825"/>
      <c r="Q16" s="825"/>
      <c r="R16" s="825"/>
      <c r="S16" s="825"/>
      <c r="T16" s="825"/>
      <c r="U16" s="825"/>
      <c r="V16" s="825"/>
      <c r="W16" s="825"/>
      <c r="X16" s="825"/>
      <c r="Y16" s="825"/>
      <c r="Z16" s="825"/>
      <c r="AA16" s="825"/>
      <c r="AB16" s="825"/>
      <c r="AC16" s="825"/>
      <c r="AD16" s="825"/>
      <c r="AE16" s="2017"/>
      <c r="AF16" s="856" t="s">
        <v>112</v>
      </c>
      <c r="AG16" s="856"/>
      <c r="AH16" s="856"/>
      <c r="AI16" s="856"/>
      <c r="AJ16" s="2018"/>
      <c r="AK16" s="1997" t="str">
        <f>IF(Overview!AK77="","",Overview!AK77)</f>
        <v/>
      </c>
      <c r="AL16" s="1998"/>
    </row>
    <row r="17" spans="1:42" s="336" customFormat="1" ht="15" customHeight="1">
      <c r="A17" s="2006" t="s">
        <v>109</v>
      </c>
      <c r="B17" s="2007"/>
      <c r="C17" s="2008"/>
      <c r="D17" s="810" t="s">
        <v>131</v>
      </c>
      <c r="E17" s="761"/>
      <c r="F17" s="761"/>
      <c r="G17" s="761"/>
      <c r="H17" s="761"/>
      <c r="I17" s="761"/>
      <c r="J17" s="761"/>
      <c r="K17" s="761"/>
      <c r="L17" s="824" t="s">
        <v>114</v>
      </c>
      <c r="M17" s="825"/>
      <c r="N17" s="825"/>
      <c r="O17" s="825"/>
      <c r="P17" s="825"/>
      <c r="Q17" s="825"/>
      <c r="R17" s="825"/>
      <c r="S17" s="825"/>
      <c r="T17" s="825"/>
      <c r="U17" s="825"/>
      <c r="V17" s="825"/>
      <c r="W17" s="825"/>
      <c r="X17" s="825"/>
      <c r="Y17" s="825"/>
      <c r="Z17" s="825"/>
      <c r="AA17" s="825"/>
      <c r="AB17" s="825"/>
      <c r="AC17" s="825"/>
      <c r="AD17" s="825"/>
      <c r="AE17" s="2017"/>
      <c r="AF17" s="856" t="s">
        <v>112</v>
      </c>
      <c r="AG17" s="856"/>
      <c r="AH17" s="856"/>
      <c r="AI17" s="856"/>
      <c r="AJ17" s="2018"/>
      <c r="AK17" s="1997" t="str">
        <f>IF(Overview!AK78="","",Overview!AK78)</f>
        <v/>
      </c>
      <c r="AL17" s="1998"/>
    </row>
    <row r="18" spans="1:42" s="336" customFormat="1" ht="15" customHeight="1">
      <c r="A18" s="2006" t="s">
        <v>109</v>
      </c>
      <c r="B18" s="2007"/>
      <c r="C18" s="2008"/>
      <c r="D18" s="810" t="s">
        <v>2261</v>
      </c>
      <c r="E18" s="761"/>
      <c r="F18" s="761"/>
      <c r="G18" s="761"/>
      <c r="H18" s="761"/>
      <c r="I18" s="761"/>
      <c r="J18" s="761"/>
      <c r="K18" s="761"/>
      <c r="L18" s="824" t="s">
        <v>116</v>
      </c>
      <c r="M18" s="825"/>
      <c r="N18" s="825"/>
      <c r="O18" s="825"/>
      <c r="P18" s="825"/>
      <c r="Q18" s="825"/>
      <c r="R18" s="825"/>
      <c r="S18" s="825"/>
      <c r="T18" s="825"/>
      <c r="U18" s="825"/>
      <c r="V18" s="825"/>
      <c r="W18" s="825"/>
      <c r="X18" s="825"/>
      <c r="Y18" s="825"/>
      <c r="Z18" s="825"/>
      <c r="AA18" s="825"/>
      <c r="AB18" s="825"/>
      <c r="AC18" s="825"/>
      <c r="AD18" s="825"/>
      <c r="AE18" s="2017"/>
      <c r="AF18" s="856" t="s">
        <v>112</v>
      </c>
      <c r="AG18" s="856"/>
      <c r="AH18" s="856"/>
      <c r="AI18" s="856"/>
      <c r="AJ18" s="2018"/>
      <c r="AK18" s="1997" t="str">
        <f>IF(Overview!AK79="","",Overview!AK79)</f>
        <v/>
      </c>
      <c r="AL18" s="1998"/>
    </row>
    <row r="19" spans="1:42" s="336" customFormat="1" ht="15" customHeight="1">
      <c r="A19" s="2006" t="s">
        <v>109</v>
      </c>
      <c r="B19" s="2007"/>
      <c r="C19" s="2008"/>
      <c r="D19" s="810" t="s">
        <v>133</v>
      </c>
      <c r="E19" s="761"/>
      <c r="F19" s="761"/>
      <c r="G19" s="761"/>
      <c r="H19" s="761"/>
      <c r="I19" s="761"/>
      <c r="J19" s="761"/>
      <c r="K19" s="761"/>
      <c r="L19" s="824" t="s">
        <v>116</v>
      </c>
      <c r="M19" s="825"/>
      <c r="N19" s="825"/>
      <c r="O19" s="825"/>
      <c r="P19" s="825"/>
      <c r="Q19" s="825"/>
      <c r="R19" s="825"/>
      <c r="S19" s="825"/>
      <c r="T19" s="825"/>
      <c r="U19" s="825"/>
      <c r="V19" s="825"/>
      <c r="W19" s="825"/>
      <c r="X19" s="825"/>
      <c r="Y19" s="825"/>
      <c r="Z19" s="825"/>
      <c r="AA19" s="825"/>
      <c r="AB19" s="825"/>
      <c r="AC19" s="825"/>
      <c r="AD19" s="825"/>
      <c r="AE19" s="2017"/>
      <c r="AF19" s="856" t="s">
        <v>112</v>
      </c>
      <c r="AG19" s="856"/>
      <c r="AH19" s="856"/>
      <c r="AI19" s="856"/>
      <c r="AJ19" s="2018"/>
      <c r="AK19" s="1997" t="str">
        <f>IF(Overview!AK80="","",Overview!AK80)</f>
        <v/>
      </c>
      <c r="AL19" s="1998"/>
    </row>
    <row r="20" spans="1:42" s="336" customFormat="1" ht="15" customHeight="1">
      <c r="A20" s="2006" t="s">
        <v>109</v>
      </c>
      <c r="B20" s="2007"/>
      <c r="C20" s="2008"/>
      <c r="D20" s="810" t="s">
        <v>134</v>
      </c>
      <c r="E20" s="761"/>
      <c r="F20" s="761"/>
      <c r="G20" s="761"/>
      <c r="H20" s="761"/>
      <c r="I20" s="761"/>
      <c r="J20" s="761"/>
      <c r="K20" s="761"/>
      <c r="L20" s="824" t="s">
        <v>116</v>
      </c>
      <c r="M20" s="825"/>
      <c r="N20" s="825"/>
      <c r="O20" s="825"/>
      <c r="P20" s="825"/>
      <c r="Q20" s="825"/>
      <c r="R20" s="825"/>
      <c r="S20" s="825"/>
      <c r="T20" s="825"/>
      <c r="U20" s="825"/>
      <c r="V20" s="825"/>
      <c r="W20" s="825"/>
      <c r="X20" s="825"/>
      <c r="Y20" s="825"/>
      <c r="Z20" s="825"/>
      <c r="AA20" s="825"/>
      <c r="AB20" s="825"/>
      <c r="AC20" s="825"/>
      <c r="AD20" s="825"/>
      <c r="AE20" s="2017"/>
      <c r="AF20" s="856" t="s">
        <v>112</v>
      </c>
      <c r="AG20" s="856"/>
      <c r="AH20" s="856"/>
      <c r="AI20" s="856"/>
      <c r="AJ20" s="2018"/>
      <c r="AK20" s="1997" t="str">
        <f>IF(Overview!AK81="","",Overview!AK81)</f>
        <v/>
      </c>
      <c r="AL20" s="1998"/>
    </row>
    <row r="21" spans="1:42" s="336" customFormat="1" ht="15" customHeight="1">
      <c r="A21" s="2006" t="s">
        <v>109</v>
      </c>
      <c r="B21" s="2007"/>
      <c r="C21" s="2008"/>
      <c r="D21" s="810" t="s">
        <v>135</v>
      </c>
      <c r="E21" s="761"/>
      <c r="F21" s="761"/>
      <c r="G21" s="761"/>
      <c r="H21" s="761"/>
      <c r="I21" s="761"/>
      <c r="J21" s="761"/>
      <c r="K21" s="761"/>
      <c r="L21" s="824" t="s">
        <v>116</v>
      </c>
      <c r="M21" s="825"/>
      <c r="N21" s="825"/>
      <c r="O21" s="825"/>
      <c r="P21" s="825"/>
      <c r="Q21" s="825"/>
      <c r="R21" s="825"/>
      <c r="S21" s="825"/>
      <c r="T21" s="825"/>
      <c r="U21" s="825"/>
      <c r="V21" s="825"/>
      <c r="W21" s="825"/>
      <c r="X21" s="825"/>
      <c r="Y21" s="825"/>
      <c r="Z21" s="825"/>
      <c r="AA21" s="825"/>
      <c r="AB21" s="825"/>
      <c r="AC21" s="825"/>
      <c r="AD21" s="825"/>
      <c r="AE21" s="2017"/>
      <c r="AF21" s="856" t="s">
        <v>112</v>
      </c>
      <c r="AG21" s="856"/>
      <c r="AH21" s="856"/>
      <c r="AI21" s="856"/>
      <c r="AJ21" s="2018"/>
      <c r="AK21" s="1997" t="str">
        <f>IF(Overview!AK82="","",Overview!AK82)</f>
        <v/>
      </c>
      <c r="AL21" s="1998"/>
    </row>
    <row r="22" spans="1:42" s="336" customFormat="1" ht="15" customHeight="1">
      <c r="A22" s="2006" t="s">
        <v>109</v>
      </c>
      <c r="B22" s="2007"/>
      <c r="C22" s="2008"/>
      <c r="D22" s="810" t="s">
        <v>136</v>
      </c>
      <c r="E22" s="761"/>
      <c r="F22" s="761"/>
      <c r="G22" s="761"/>
      <c r="H22" s="761"/>
      <c r="I22" s="761"/>
      <c r="J22" s="761"/>
      <c r="K22" s="761"/>
      <c r="L22" s="824" t="s">
        <v>116</v>
      </c>
      <c r="M22" s="825"/>
      <c r="N22" s="825"/>
      <c r="O22" s="825"/>
      <c r="P22" s="825"/>
      <c r="Q22" s="825"/>
      <c r="R22" s="825"/>
      <c r="S22" s="825"/>
      <c r="T22" s="825"/>
      <c r="U22" s="825"/>
      <c r="V22" s="825"/>
      <c r="W22" s="825"/>
      <c r="X22" s="825"/>
      <c r="Y22" s="825"/>
      <c r="Z22" s="825"/>
      <c r="AA22" s="825"/>
      <c r="AB22" s="825"/>
      <c r="AC22" s="825"/>
      <c r="AD22" s="825"/>
      <c r="AE22" s="2017"/>
      <c r="AF22" s="856" t="s">
        <v>112</v>
      </c>
      <c r="AG22" s="856"/>
      <c r="AH22" s="856"/>
      <c r="AI22" s="856"/>
      <c r="AJ22" s="2018"/>
      <c r="AK22" s="1997" t="str">
        <f>IF(Overview!AK83="","",Overview!AK83)</f>
        <v/>
      </c>
      <c r="AL22" s="1998"/>
    </row>
    <row r="23" spans="1:42" s="336" customFormat="1" ht="15" customHeight="1">
      <c r="A23" s="2006" t="s">
        <v>109</v>
      </c>
      <c r="B23" s="2007"/>
      <c r="C23" s="2008"/>
      <c r="D23" s="810" t="s">
        <v>137</v>
      </c>
      <c r="E23" s="761"/>
      <c r="F23" s="761"/>
      <c r="G23" s="761"/>
      <c r="H23" s="761"/>
      <c r="I23" s="761"/>
      <c r="J23" s="761"/>
      <c r="K23" s="761"/>
      <c r="L23" s="824" t="s">
        <v>126</v>
      </c>
      <c r="M23" s="825"/>
      <c r="N23" s="825"/>
      <c r="O23" s="825"/>
      <c r="P23" s="825"/>
      <c r="Q23" s="825"/>
      <c r="R23" s="825"/>
      <c r="S23" s="825"/>
      <c r="T23" s="825"/>
      <c r="U23" s="825"/>
      <c r="V23" s="825"/>
      <c r="W23" s="825"/>
      <c r="X23" s="825"/>
      <c r="Y23" s="825"/>
      <c r="Z23" s="825"/>
      <c r="AA23" s="825"/>
      <c r="AB23" s="825"/>
      <c r="AC23" s="825"/>
      <c r="AD23" s="825"/>
      <c r="AE23" s="2017"/>
      <c r="AF23" s="856" t="s">
        <v>112</v>
      </c>
      <c r="AG23" s="856"/>
      <c r="AH23" s="856"/>
      <c r="AI23" s="856"/>
      <c r="AJ23" s="2018"/>
      <c r="AK23" s="1997" t="str">
        <f>IF(Overview!AK84="","",Overview!AK84)</f>
        <v/>
      </c>
      <c r="AL23" s="1998"/>
    </row>
    <row r="24" spans="1:42" s="336" customFormat="1" ht="15" customHeight="1">
      <c r="A24" s="2006" t="s">
        <v>109</v>
      </c>
      <c r="B24" s="2007"/>
      <c r="C24" s="2008"/>
      <c r="D24" s="810" t="s">
        <v>138</v>
      </c>
      <c r="E24" s="761"/>
      <c r="F24" s="761"/>
      <c r="G24" s="761"/>
      <c r="H24" s="761"/>
      <c r="I24" s="761"/>
      <c r="J24" s="761"/>
      <c r="K24" s="761"/>
      <c r="L24" s="824" t="s">
        <v>139</v>
      </c>
      <c r="M24" s="825"/>
      <c r="N24" s="825"/>
      <c r="O24" s="825"/>
      <c r="P24" s="825"/>
      <c r="Q24" s="825"/>
      <c r="R24" s="825"/>
      <c r="S24" s="825"/>
      <c r="T24" s="825"/>
      <c r="U24" s="825"/>
      <c r="V24" s="825"/>
      <c r="W24" s="825"/>
      <c r="X24" s="825"/>
      <c r="Y24" s="825"/>
      <c r="Z24" s="825"/>
      <c r="AA24" s="825"/>
      <c r="AB24" s="825"/>
      <c r="AC24" s="825"/>
      <c r="AD24" s="825"/>
      <c r="AE24" s="2017"/>
      <c r="AF24" s="856" t="s">
        <v>112</v>
      </c>
      <c r="AG24" s="856"/>
      <c r="AH24" s="856"/>
      <c r="AI24" s="856"/>
      <c r="AJ24" s="2018"/>
      <c r="AK24" s="1997" t="str">
        <f>IF(Overview!AK85="","",Overview!AK85)</f>
        <v/>
      </c>
      <c r="AL24" s="1998"/>
    </row>
    <row r="25" spans="1:42" s="29" customFormat="1" ht="15" customHeight="1">
      <c r="A25" s="810" t="s">
        <v>152</v>
      </c>
      <c r="B25" s="761"/>
      <c r="C25" s="1818"/>
      <c r="D25" s="916" t="s">
        <v>153</v>
      </c>
      <c r="E25" s="917"/>
      <c r="F25" s="917"/>
      <c r="G25" s="917"/>
      <c r="H25" s="917"/>
      <c r="I25" s="917"/>
      <c r="J25" s="917"/>
      <c r="K25" s="2042"/>
      <c r="L25" s="919" t="s">
        <v>154</v>
      </c>
      <c r="M25" s="920"/>
      <c r="N25" s="920"/>
      <c r="O25" s="920"/>
      <c r="P25" s="920"/>
      <c r="Q25" s="920"/>
      <c r="R25" s="920"/>
      <c r="S25" s="920"/>
      <c r="T25" s="920"/>
      <c r="U25" s="920"/>
      <c r="V25" s="920"/>
      <c r="W25" s="920"/>
      <c r="X25" s="920"/>
      <c r="Y25" s="920"/>
      <c r="Z25" s="920"/>
      <c r="AA25" s="920"/>
      <c r="AB25" s="920"/>
      <c r="AC25" s="920"/>
      <c r="AD25" s="920"/>
      <c r="AE25" s="2019"/>
      <c r="AF25" s="811" t="s">
        <v>112</v>
      </c>
      <c r="AG25" s="812"/>
      <c r="AH25" s="812"/>
      <c r="AI25" s="812"/>
      <c r="AJ25" s="1820"/>
      <c r="AK25" s="1997" t="str">
        <f>IF(Overview!AK120="","",Overview!AK120)</f>
        <v/>
      </c>
      <c r="AL25" s="1998"/>
      <c r="AN25"/>
      <c r="AO25"/>
      <c r="AP25"/>
    </row>
    <row r="26" spans="1:42" s="29" customFormat="1" ht="15" customHeight="1">
      <c r="A26" s="810" t="s">
        <v>152</v>
      </c>
      <c r="B26" s="761"/>
      <c r="C26" s="1818"/>
      <c r="D26" s="916" t="s">
        <v>155</v>
      </c>
      <c r="E26" s="917"/>
      <c r="F26" s="917"/>
      <c r="G26" s="917"/>
      <c r="H26" s="917"/>
      <c r="I26" s="917"/>
      <c r="J26" s="917"/>
      <c r="K26" s="2042"/>
      <c r="L26" s="919" t="s">
        <v>156</v>
      </c>
      <c r="M26" s="920"/>
      <c r="N26" s="920"/>
      <c r="O26" s="920"/>
      <c r="P26" s="920"/>
      <c r="Q26" s="920"/>
      <c r="R26" s="920"/>
      <c r="S26" s="920"/>
      <c r="T26" s="920"/>
      <c r="U26" s="920"/>
      <c r="V26" s="920"/>
      <c r="W26" s="920"/>
      <c r="X26" s="920"/>
      <c r="Y26" s="920"/>
      <c r="Z26" s="920"/>
      <c r="AA26" s="920"/>
      <c r="AB26" s="920"/>
      <c r="AC26" s="920"/>
      <c r="AD26" s="920"/>
      <c r="AE26" s="2019"/>
      <c r="AF26" s="811" t="s">
        <v>112</v>
      </c>
      <c r="AG26" s="812"/>
      <c r="AH26" s="812"/>
      <c r="AI26" s="812"/>
      <c r="AJ26" s="1820"/>
      <c r="AK26" s="1997" t="str">
        <f>IF(Overview!AK121="","",Overview!AK121)</f>
        <v/>
      </c>
      <c r="AL26" s="1998"/>
      <c r="AN26"/>
      <c r="AO26"/>
      <c r="AP26"/>
    </row>
    <row r="27" spans="1:42" s="29" customFormat="1" ht="45" customHeight="1">
      <c r="A27" s="760" t="s">
        <v>152</v>
      </c>
      <c r="B27" s="761"/>
      <c r="C27" s="1818"/>
      <c r="D27" s="810" t="s">
        <v>158</v>
      </c>
      <c r="E27" s="761"/>
      <c r="F27" s="761"/>
      <c r="G27" s="761"/>
      <c r="H27" s="761"/>
      <c r="I27" s="761"/>
      <c r="J27" s="761"/>
      <c r="K27" s="1818"/>
      <c r="L27" s="810" t="s">
        <v>159</v>
      </c>
      <c r="M27" s="761"/>
      <c r="N27" s="761"/>
      <c r="O27" s="761"/>
      <c r="P27" s="761"/>
      <c r="Q27" s="761"/>
      <c r="R27" s="761"/>
      <c r="S27" s="761"/>
      <c r="T27" s="761"/>
      <c r="U27" s="761"/>
      <c r="V27" s="761"/>
      <c r="W27" s="761"/>
      <c r="X27" s="761"/>
      <c r="Y27" s="761"/>
      <c r="Z27" s="761"/>
      <c r="AA27" s="761"/>
      <c r="AB27" s="761"/>
      <c r="AC27" s="761"/>
      <c r="AD27" s="761"/>
      <c r="AE27" s="761"/>
      <c r="AF27" s="811" t="s">
        <v>112</v>
      </c>
      <c r="AG27" s="812"/>
      <c r="AH27" s="812"/>
      <c r="AI27" s="812"/>
      <c r="AJ27" s="1820"/>
      <c r="AK27" s="1997" t="str">
        <f>IF(Overview!AK123="","",Overview!AK123)</f>
        <v/>
      </c>
      <c r="AL27" s="1998"/>
    </row>
    <row r="28" spans="1:42" s="29" customFormat="1" ht="30" customHeight="1">
      <c r="A28" s="760" t="s">
        <v>152</v>
      </c>
      <c r="B28" s="761"/>
      <c r="C28" s="1818"/>
      <c r="D28" s="810" t="s">
        <v>158</v>
      </c>
      <c r="E28" s="761"/>
      <c r="F28" s="761"/>
      <c r="G28" s="761"/>
      <c r="H28" s="761"/>
      <c r="I28" s="761"/>
      <c r="J28" s="761"/>
      <c r="K28" s="1818"/>
      <c r="L28" s="810" t="s">
        <v>163</v>
      </c>
      <c r="M28" s="761"/>
      <c r="N28" s="761"/>
      <c r="O28" s="761"/>
      <c r="P28" s="761"/>
      <c r="Q28" s="761"/>
      <c r="R28" s="761"/>
      <c r="S28" s="761"/>
      <c r="T28" s="761"/>
      <c r="U28" s="761"/>
      <c r="V28" s="761"/>
      <c r="W28" s="761"/>
      <c r="X28" s="761"/>
      <c r="Y28" s="761"/>
      <c r="Z28" s="761"/>
      <c r="AA28" s="761"/>
      <c r="AB28" s="761"/>
      <c r="AC28" s="761"/>
      <c r="AD28" s="761"/>
      <c r="AE28" s="761"/>
      <c r="AF28" s="811" t="s">
        <v>112</v>
      </c>
      <c r="AG28" s="812"/>
      <c r="AH28" s="812"/>
      <c r="AI28" s="812"/>
      <c r="AJ28" s="1820"/>
      <c r="AK28" s="1997" t="str">
        <f>IF(Overview!AK127="","",Overview!AK127)</f>
        <v/>
      </c>
      <c r="AL28" s="1998"/>
    </row>
    <row r="29" spans="1:42" s="29" customFormat="1" ht="30" customHeight="1">
      <c r="A29" s="760" t="s">
        <v>152</v>
      </c>
      <c r="B29" s="761"/>
      <c r="C29" s="1818"/>
      <c r="D29" s="810" t="s">
        <v>175</v>
      </c>
      <c r="E29" s="761"/>
      <c r="F29" s="761"/>
      <c r="G29" s="761"/>
      <c r="H29" s="761"/>
      <c r="I29" s="761"/>
      <c r="J29" s="761"/>
      <c r="K29" s="1818"/>
      <c r="L29" s="810" t="s">
        <v>176</v>
      </c>
      <c r="M29" s="761"/>
      <c r="N29" s="761"/>
      <c r="O29" s="761"/>
      <c r="P29" s="761"/>
      <c r="Q29" s="761"/>
      <c r="R29" s="761"/>
      <c r="S29" s="761"/>
      <c r="T29" s="761"/>
      <c r="U29" s="761"/>
      <c r="V29" s="761"/>
      <c r="W29" s="761"/>
      <c r="X29" s="761"/>
      <c r="Y29" s="761"/>
      <c r="Z29" s="761"/>
      <c r="AA29" s="761"/>
      <c r="AB29" s="761"/>
      <c r="AC29" s="761"/>
      <c r="AD29" s="761"/>
      <c r="AE29" s="761"/>
      <c r="AF29" s="811" t="s">
        <v>112</v>
      </c>
      <c r="AG29" s="812"/>
      <c r="AH29" s="812"/>
      <c r="AI29" s="812"/>
      <c r="AJ29" s="1820"/>
      <c r="AK29" s="1997" t="str">
        <f>IF(Overview!AK139="","",Overview!AK139)</f>
        <v/>
      </c>
      <c r="AL29" s="1998"/>
    </row>
    <row r="30" spans="1:42" ht="18" customHeight="1">
      <c r="A30" s="2013" t="s">
        <v>2262</v>
      </c>
      <c r="B30" s="2014"/>
      <c r="C30" s="2014"/>
      <c r="D30" s="2014"/>
      <c r="E30" s="2014"/>
      <c r="F30" s="2014"/>
      <c r="G30" s="2014"/>
      <c r="H30" s="2014"/>
      <c r="I30" s="2014"/>
      <c r="J30" s="2014"/>
      <c r="K30" s="2014"/>
      <c r="L30" s="2014"/>
      <c r="M30" s="2014"/>
      <c r="N30" s="2014"/>
      <c r="O30" s="2014"/>
      <c r="P30" s="2014"/>
      <c r="Q30" s="2014"/>
      <c r="R30" s="2014"/>
      <c r="S30" s="2014"/>
      <c r="T30" s="2014"/>
      <c r="U30" s="2014"/>
      <c r="V30" s="2014"/>
      <c r="W30" s="2014"/>
      <c r="X30" s="2014"/>
      <c r="Y30" s="2014"/>
      <c r="Z30" s="2014"/>
      <c r="AA30" s="2014"/>
      <c r="AB30" s="2014"/>
      <c r="AC30" s="2014"/>
      <c r="AD30" s="2014"/>
      <c r="AE30" s="2014"/>
      <c r="AF30" s="2014"/>
      <c r="AG30" s="2014"/>
      <c r="AH30" s="2014"/>
      <c r="AI30" s="2014"/>
      <c r="AJ30" s="2014"/>
      <c r="AK30" s="2014"/>
      <c r="AL30" s="2015"/>
    </row>
    <row r="31" spans="1:42" s="29" customFormat="1" ht="15" customHeight="1">
      <c r="A31" s="760" t="s">
        <v>109</v>
      </c>
      <c r="B31" s="761"/>
      <c r="C31" s="1818"/>
      <c r="D31" s="810" t="s">
        <v>186</v>
      </c>
      <c r="E31" s="761"/>
      <c r="F31" s="761"/>
      <c r="G31" s="761"/>
      <c r="H31" s="761"/>
      <c r="I31" s="761"/>
      <c r="J31" s="761"/>
      <c r="K31" s="1818"/>
      <c r="L31" s="1099" t="s">
        <v>187</v>
      </c>
      <c r="M31" s="1099"/>
      <c r="N31" s="1099"/>
      <c r="O31" s="1099"/>
      <c r="P31" s="1099"/>
      <c r="Q31" s="1099"/>
      <c r="R31" s="1099"/>
      <c r="S31" s="1099"/>
      <c r="T31" s="1099"/>
      <c r="U31" s="1099"/>
      <c r="V31" s="1099"/>
      <c r="W31" s="1099"/>
      <c r="X31" s="1099"/>
      <c r="Y31" s="1099"/>
      <c r="Z31" s="1099"/>
      <c r="AA31" s="1099"/>
      <c r="AB31" s="1099"/>
      <c r="AC31" s="1099"/>
      <c r="AD31" s="1099"/>
      <c r="AE31" s="1099"/>
      <c r="AF31" s="811" t="s">
        <v>112</v>
      </c>
      <c r="AG31" s="812"/>
      <c r="AH31" s="812"/>
      <c r="AI31" s="812"/>
      <c r="AJ31" s="1820"/>
      <c r="AK31" s="1997" t="str">
        <f>IF(Threshold!AK9="","",Threshold!AK9)</f>
        <v/>
      </c>
      <c r="AL31" s="1998"/>
      <c r="AM31"/>
    </row>
    <row r="32" spans="1:42" s="29" customFormat="1" ht="15" customHeight="1">
      <c r="A32" s="760" t="s">
        <v>109</v>
      </c>
      <c r="B32" s="761"/>
      <c r="C32" s="1818"/>
      <c r="D32" s="810" t="s">
        <v>188</v>
      </c>
      <c r="E32" s="761"/>
      <c r="F32" s="761"/>
      <c r="G32" s="761"/>
      <c r="H32" s="761"/>
      <c r="I32" s="761"/>
      <c r="J32" s="761"/>
      <c r="K32" s="1818"/>
      <c r="L32" s="1099" t="s">
        <v>2263</v>
      </c>
      <c r="M32" s="1099"/>
      <c r="N32" s="1099"/>
      <c r="O32" s="1099"/>
      <c r="P32" s="1099"/>
      <c r="Q32" s="1099"/>
      <c r="R32" s="1099"/>
      <c r="S32" s="1099"/>
      <c r="T32" s="1099"/>
      <c r="U32" s="1099"/>
      <c r="V32" s="1099"/>
      <c r="W32" s="1099"/>
      <c r="X32" s="1099"/>
      <c r="Y32" s="1099"/>
      <c r="Z32" s="1099"/>
      <c r="AA32" s="1099"/>
      <c r="AB32" s="1099"/>
      <c r="AC32" s="1099"/>
      <c r="AD32" s="1099"/>
      <c r="AE32" s="1099"/>
      <c r="AF32" s="811" t="s">
        <v>112</v>
      </c>
      <c r="AG32" s="812"/>
      <c r="AH32" s="812"/>
      <c r="AI32" s="812"/>
      <c r="AJ32" s="1820"/>
      <c r="AK32" s="1997" t="str">
        <f>IF(Threshold!AK10="","",Threshold!AK10)</f>
        <v/>
      </c>
      <c r="AL32" s="1998"/>
      <c r="AM32"/>
    </row>
    <row r="33" spans="1:39" s="29" customFormat="1" ht="15" customHeight="1">
      <c r="A33" s="760" t="s">
        <v>109</v>
      </c>
      <c r="B33" s="761"/>
      <c r="C33" s="1818"/>
      <c r="D33" s="810" t="s">
        <v>190</v>
      </c>
      <c r="E33" s="761"/>
      <c r="F33" s="761"/>
      <c r="G33" s="761"/>
      <c r="H33" s="761"/>
      <c r="I33" s="761"/>
      <c r="J33" s="761"/>
      <c r="K33" s="1818"/>
      <c r="L33" s="922" t="s">
        <v>191</v>
      </c>
      <c r="M33" s="922"/>
      <c r="N33" s="922"/>
      <c r="O33" s="922"/>
      <c r="P33" s="922"/>
      <c r="Q33" s="922"/>
      <c r="R33" s="922"/>
      <c r="S33" s="922"/>
      <c r="T33" s="922"/>
      <c r="U33" s="922"/>
      <c r="V33" s="922"/>
      <c r="W33" s="922"/>
      <c r="X33" s="922"/>
      <c r="Y33" s="922"/>
      <c r="Z33" s="922"/>
      <c r="AA33" s="922"/>
      <c r="AB33" s="922"/>
      <c r="AC33" s="922"/>
      <c r="AD33" s="922"/>
      <c r="AE33" s="922"/>
      <c r="AF33" s="811" t="s">
        <v>112</v>
      </c>
      <c r="AG33" s="812"/>
      <c r="AH33" s="812"/>
      <c r="AI33" s="812"/>
      <c r="AJ33" s="1820"/>
      <c r="AK33" s="1997" t="str">
        <f>IF(Threshold!AK11="","",Threshold!AK11)</f>
        <v/>
      </c>
      <c r="AL33" s="1998"/>
      <c r="AM33"/>
    </row>
    <row r="34" spans="1:39" s="29" customFormat="1" ht="15" customHeight="1">
      <c r="A34" s="760" t="s">
        <v>109</v>
      </c>
      <c r="B34" s="761"/>
      <c r="C34" s="1818"/>
      <c r="D34" s="810" t="s">
        <v>192</v>
      </c>
      <c r="E34" s="761"/>
      <c r="F34" s="761"/>
      <c r="G34" s="761"/>
      <c r="H34" s="761"/>
      <c r="I34" s="761"/>
      <c r="J34" s="761"/>
      <c r="K34" s="1818"/>
      <c r="L34" s="922" t="s">
        <v>193</v>
      </c>
      <c r="M34" s="922"/>
      <c r="N34" s="922"/>
      <c r="O34" s="922"/>
      <c r="P34" s="922"/>
      <c r="Q34" s="922"/>
      <c r="R34" s="922"/>
      <c r="S34" s="922"/>
      <c r="T34" s="922"/>
      <c r="U34" s="922"/>
      <c r="V34" s="922"/>
      <c r="W34" s="922"/>
      <c r="X34" s="922"/>
      <c r="Y34" s="922"/>
      <c r="Z34" s="922"/>
      <c r="AA34" s="922"/>
      <c r="AB34" s="922"/>
      <c r="AC34" s="922"/>
      <c r="AD34" s="922"/>
      <c r="AE34" s="922"/>
      <c r="AF34" s="811" t="s">
        <v>112</v>
      </c>
      <c r="AG34" s="812"/>
      <c r="AH34" s="812"/>
      <c r="AI34" s="812"/>
      <c r="AJ34" s="1820"/>
      <c r="AK34" s="1997" t="str">
        <f>IF(Threshold!AK12="","",Threshold!AK12)</f>
        <v/>
      </c>
      <c r="AL34" s="1998"/>
      <c r="AM34"/>
    </row>
    <row r="35" spans="1:39" s="29" customFormat="1" ht="30" customHeight="1">
      <c r="A35" s="760" t="s">
        <v>109</v>
      </c>
      <c r="B35" s="761"/>
      <c r="C35" s="1818"/>
      <c r="D35" s="810" t="s">
        <v>194</v>
      </c>
      <c r="E35" s="761"/>
      <c r="F35" s="761"/>
      <c r="G35" s="761"/>
      <c r="H35" s="761"/>
      <c r="I35" s="761"/>
      <c r="J35" s="761"/>
      <c r="K35" s="1818"/>
      <c r="L35" s="922" t="s">
        <v>195</v>
      </c>
      <c r="M35" s="922"/>
      <c r="N35" s="922"/>
      <c r="O35" s="922"/>
      <c r="P35" s="922"/>
      <c r="Q35" s="922"/>
      <c r="R35" s="922"/>
      <c r="S35" s="922"/>
      <c r="T35" s="922"/>
      <c r="U35" s="922"/>
      <c r="V35" s="922"/>
      <c r="W35" s="922"/>
      <c r="X35" s="922"/>
      <c r="Y35" s="922"/>
      <c r="Z35" s="922"/>
      <c r="AA35" s="922"/>
      <c r="AB35" s="922"/>
      <c r="AC35" s="922"/>
      <c r="AD35" s="922"/>
      <c r="AE35" s="922"/>
      <c r="AF35" s="811" t="s">
        <v>112</v>
      </c>
      <c r="AG35" s="812"/>
      <c r="AH35" s="812"/>
      <c r="AI35" s="812"/>
      <c r="AJ35" s="1820"/>
      <c r="AK35" s="1997" t="str">
        <f>IF(Threshold!AK13="","",Threshold!AK13)</f>
        <v/>
      </c>
      <c r="AL35" s="1998"/>
      <c r="AM35"/>
    </row>
    <row r="36" spans="1:39" s="29" customFormat="1" ht="30" customHeight="1">
      <c r="A36" s="760" t="s">
        <v>109</v>
      </c>
      <c r="B36" s="761"/>
      <c r="C36" s="1818"/>
      <c r="D36" s="810" t="s">
        <v>200</v>
      </c>
      <c r="E36" s="761"/>
      <c r="F36" s="761"/>
      <c r="G36" s="761"/>
      <c r="H36" s="761"/>
      <c r="I36" s="761"/>
      <c r="J36" s="761"/>
      <c r="K36" s="1818"/>
      <c r="L36" s="1077" t="s">
        <v>2264</v>
      </c>
      <c r="M36" s="1078"/>
      <c r="N36" s="1078"/>
      <c r="O36" s="1078"/>
      <c r="P36" s="1078"/>
      <c r="Q36" s="1078"/>
      <c r="R36" s="1078"/>
      <c r="S36" s="1078"/>
      <c r="T36" s="1078"/>
      <c r="U36" s="1078"/>
      <c r="V36" s="1078"/>
      <c r="W36" s="1078"/>
      <c r="X36" s="1078"/>
      <c r="Y36" s="1078"/>
      <c r="Z36" s="1078"/>
      <c r="AA36" s="1078"/>
      <c r="AB36" s="1078"/>
      <c r="AC36" s="1078"/>
      <c r="AD36" s="1078"/>
      <c r="AE36" s="2016"/>
      <c r="AF36" s="811" t="s">
        <v>112</v>
      </c>
      <c r="AG36" s="812"/>
      <c r="AH36" s="812"/>
      <c r="AI36" s="812"/>
      <c r="AJ36" s="1820"/>
      <c r="AK36" s="1997" t="str">
        <f>IF(Threshold!AK16="","",Threshold!AK16)</f>
        <v/>
      </c>
      <c r="AL36" s="1998"/>
      <c r="AM36"/>
    </row>
    <row r="37" spans="1:39" s="29" customFormat="1" ht="15" customHeight="1">
      <c r="A37" s="760" t="s">
        <v>152</v>
      </c>
      <c r="B37" s="761"/>
      <c r="C37" s="1818"/>
      <c r="D37" s="810" t="s">
        <v>209</v>
      </c>
      <c r="E37" s="761"/>
      <c r="F37" s="761"/>
      <c r="G37" s="761"/>
      <c r="H37" s="761"/>
      <c r="I37" s="761"/>
      <c r="J37" s="761"/>
      <c r="K37" s="1818"/>
      <c r="L37" s="810" t="s">
        <v>210</v>
      </c>
      <c r="M37" s="761"/>
      <c r="N37" s="761"/>
      <c r="O37" s="761"/>
      <c r="P37" s="761"/>
      <c r="Q37" s="761"/>
      <c r="R37" s="761"/>
      <c r="S37" s="761"/>
      <c r="T37" s="761"/>
      <c r="U37" s="761"/>
      <c r="V37" s="761"/>
      <c r="W37" s="761"/>
      <c r="X37" s="761"/>
      <c r="Y37" s="761"/>
      <c r="Z37" s="761"/>
      <c r="AA37" s="761"/>
      <c r="AB37" s="761"/>
      <c r="AC37" s="761"/>
      <c r="AD37" s="761"/>
      <c r="AE37" s="761"/>
      <c r="AF37" s="811" t="s">
        <v>112</v>
      </c>
      <c r="AG37" s="812"/>
      <c r="AH37" s="812"/>
      <c r="AI37" s="812"/>
      <c r="AJ37" s="1820"/>
      <c r="AK37" s="1997" t="str">
        <f>IF(Threshold!AK42="","",Threshold!AK42)</f>
        <v/>
      </c>
      <c r="AL37" s="1998"/>
      <c r="AM37"/>
    </row>
    <row r="38" spans="1:39" s="29" customFormat="1" ht="15" customHeight="1">
      <c r="A38" s="760" t="s">
        <v>152</v>
      </c>
      <c r="B38" s="761"/>
      <c r="C38" s="1818"/>
      <c r="D38" s="810" t="s">
        <v>212</v>
      </c>
      <c r="E38" s="761"/>
      <c r="F38" s="761"/>
      <c r="G38" s="761"/>
      <c r="H38" s="761"/>
      <c r="I38" s="761"/>
      <c r="J38" s="761"/>
      <c r="K38" s="1818"/>
      <c r="L38" s="810" t="s">
        <v>213</v>
      </c>
      <c r="M38" s="761"/>
      <c r="N38" s="761"/>
      <c r="O38" s="761"/>
      <c r="P38" s="761"/>
      <c r="Q38" s="761"/>
      <c r="R38" s="761"/>
      <c r="S38" s="761"/>
      <c r="T38" s="761"/>
      <c r="U38" s="761"/>
      <c r="V38" s="761"/>
      <c r="W38" s="761"/>
      <c r="X38" s="761"/>
      <c r="Y38" s="761"/>
      <c r="Z38" s="761"/>
      <c r="AA38" s="761"/>
      <c r="AB38" s="761"/>
      <c r="AC38" s="761"/>
      <c r="AD38" s="761"/>
      <c r="AE38" s="761"/>
      <c r="AF38" s="811" t="s">
        <v>112</v>
      </c>
      <c r="AG38" s="812"/>
      <c r="AH38" s="812"/>
      <c r="AI38" s="812"/>
      <c r="AJ38" s="1820"/>
      <c r="AK38" s="1997" t="str">
        <f>IF(Threshold!AK45="","",Threshold!AK45)</f>
        <v/>
      </c>
      <c r="AL38" s="1998"/>
      <c r="AM38"/>
    </row>
    <row r="39" spans="1:39" s="29" customFormat="1" ht="15" customHeight="1">
      <c r="A39" s="760" t="s">
        <v>152</v>
      </c>
      <c r="B39" s="761"/>
      <c r="C39" s="761"/>
      <c r="D39" s="810" t="s">
        <v>214</v>
      </c>
      <c r="E39" s="761"/>
      <c r="F39" s="761"/>
      <c r="G39" s="761"/>
      <c r="H39" s="761"/>
      <c r="I39" s="761"/>
      <c r="J39" s="761"/>
      <c r="K39" s="1818" t="s">
        <v>215</v>
      </c>
      <c r="L39" s="810" t="s">
        <v>216</v>
      </c>
      <c r="M39" s="761"/>
      <c r="N39" s="761"/>
      <c r="O39" s="761"/>
      <c r="P39" s="761"/>
      <c r="Q39" s="761"/>
      <c r="R39" s="761"/>
      <c r="S39" s="761"/>
      <c r="T39" s="761"/>
      <c r="U39" s="761"/>
      <c r="V39" s="761"/>
      <c r="W39" s="761"/>
      <c r="X39" s="761"/>
      <c r="Y39" s="761"/>
      <c r="Z39" s="761"/>
      <c r="AA39" s="761"/>
      <c r="AB39" s="761"/>
      <c r="AC39" s="761"/>
      <c r="AD39" s="761"/>
      <c r="AE39" s="761" t="s">
        <v>217</v>
      </c>
      <c r="AF39" s="811" t="s">
        <v>112</v>
      </c>
      <c r="AG39" s="812"/>
      <c r="AH39" s="812"/>
      <c r="AI39" s="812"/>
      <c r="AJ39" s="1820"/>
      <c r="AK39" s="1997" t="str">
        <f>IF(Threshold!AK46="","",Threshold!AK46)</f>
        <v/>
      </c>
      <c r="AL39" s="1998"/>
    </row>
    <row r="40" spans="1:39" s="29" customFormat="1" ht="15" customHeight="1">
      <c r="A40" s="760" t="s">
        <v>152</v>
      </c>
      <c r="B40" s="761"/>
      <c r="C40" s="761"/>
      <c r="D40" s="810" t="s">
        <v>218</v>
      </c>
      <c r="E40" s="761"/>
      <c r="F40" s="761"/>
      <c r="G40" s="761"/>
      <c r="H40" s="761"/>
      <c r="I40" s="761"/>
      <c r="J40" s="761"/>
      <c r="K40" s="1818" t="s">
        <v>215</v>
      </c>
      <c r="L40" s="810" t="s">
        <v>219</v>
      </c>
      <c r="M40" s="761"/>
      <c r="N40" s="761"/>
      <c r="O40" s="761"/>
      <c r="P40" s="761"/>
      <c r="Q40" s="761"/>
      <c r="R40" s="761"/>
      <c r="S40" s="761"/>
      <c r="T40" s="761"/>
      <c r="U40" s="761"/>
      <c r="V40" s="761"/>
      <c r="W40" s="761"/>
      <c r="X40" s="761"/>
      <c r="Y40" s="761"/>
      <c r="Z40" s="761"/>
      <c r="AA40" s="761"/>
      <c r="AB40" s="761"/>
      <c r="AC40" s="761"/>
      <c r="AD40" s="761"/>
      <c r="AE40" s="761" t="s">
        <v>217</v>
      </c>
      <c r="AF40" s="811" t="s">
        <v>112</v>
      </c>
      <c r="AG40" s="812"/>
      <c r="AH40" s="812"/>
      <c r="AI40" s="812"/>
      <c r="AJ40" s="1820"/>
      <c r="AK40" s="1997" t="str">
        <f>IF(Threshold!AK47="","",Threshold!AK47)</f>
        <v/>
      </c>
      <c r="AL40" s="1998"/>
    </row>
    <row r="41" spans="1:39" s="29" customFormat="1" ht="15" customHeight="1">
      <c r="A41" s="760" t="s">
        <v>152</v>
      </c>
      <c r="B41" s="761"/>
      <c r="C41" s="761"/>
      <c r="D41" s="810" t="s">
        <v>220</v>
      </c>
      <c r="E41" s="761"/>
      <c r="F41" s="761"/>
      <c r="G41" s="761"/>
      <c r="H41" s="761"/>
      <c r="I41" s="761"/>
      <c r="J41" s="761"/>
      <c r="K41" s="1818" t="s">
        <v>215</v>
      </c>
      <c r="L41" s="810" t="s">
        <v>221</v>
      </c>
      <c r="M41" s="761"/>
      <c r="N41" s="761"/>
      <c r="O41" s="761"/>
      <c r="P41" s="761"/>
      <c r="Q41" s="761"/>
      <c r="R41" s="761"/>
      <c r="S41" s="761"/>
      <c r="T41" s="761"/>
      <c r="U41" s="761"/>
      <c r="V41" s="761"/>
      <c r="W41" s="761"/>
      <c r="X41" s="761"/>
      <c r="Y41" s="761"/>
      <c r="Z41" s="761"/>
      <c r="AA41" s="761"/>
      <c r="AB41" s="761"/>
      <c r="AC41" s="761"/>
      <c r="AD41" s="761"/>
      <c r="AE41" s="761" t="s">
        <v>217</v>
      </c>
      <c r="AF41" s="811" t="s">
        <v>112</v>
      </c>
      <c r="AG41" s="812"/>
      <c r="AH41" s="812"/>
      <c r="AI41" s="812"/>
      <c r="AJ41" s="1820"/>
      <c r="AK41" s="1997" t="str">
        <f>IF(Threshold!AK48="","",Threshold!AK48)</f>
        <v/>
      </c>
      <c r="AL41" s="1998"/>
    </row>
    <row r="42" spans="1:39" s="29" customFormat="1" ht="15" customHeight="1">
      <c r="A42" s="760" t="s">
        <v>152</v>
      </c>
      <c r="B42" s="761"/>
      <c r="C42" s="761"/>
      <c r="D42" s="810" t="s">
        <v>222</v>
      </c>
      <c r="E42" s="761"/>
      <c r="F42" s="761"/>
      <c r="G42" s="761"/>
      <c r="H42" s="761"/>
      <c r="I42" s="761"/>
      <c r="J42" s="761"/>
      <c r="K42" s="1818" t="s">
        <v>215</v>
      </c>
      <c r="L42" s="810" t="s">
        <v>223</v>
      </c>
      <c r="M42" s="761"/>
      <c r="N42" s="761"/>
      <c r="O42" s="761"/>
      <c r="P42" s="761"/>
      <c r="Q42" s="761"/>
      <c r="R42" s="761"/>
      <c r="S42" s="761"/>
      <c r="T42" s="761"/>
      <c r="U42" s="761"/>
      <c r="V42" s="761"/>
      <c r="W42" s="761"/>
      <c r="X42" s="761"/>
      <c r="Y42" s="761"/>
      <c r="Z42" s="761"/>
      <c r="AA42" s="761"/>
      <c r="AB42" s="761"/>
      <c r="AC42" s="761"/>
      <c r="AD42" s="761"/>
      <c r="AE42" s="761" t="s">
        <v>217</v>
      </c>
      <c r="AF42" s="811" t="s">
        <v>112</v>
      </c>
      <c r="AG42" s="812"/>
      <c r="AH42" s="812"/>
      <c r="AI42" s="812"/>
      <c r="AJ42" s="1820"/>
      <c r="AK42" s="1997" t="str">
        <f>IF(Threshold!AK49="","",Threshold!AK49)</f>
        <v/>
      </c>
      <c r="AL42" s="1998"/>
    </row>
    <row r="43" spans="1:39" s="29" customFormat="1" ht="15" customHeight="1">
      <c r="A43" s="760" t="s">
        <v>152</v>
      </c>
      <c r="B43" s="761"/>
      <c r="C43" s="1818"/>
      <c r="D43" s="810" t="s">
        <v>227</v>
      </c>
      <c r="E43" s="761"/>
      <c r="F43" s="761"/>
      <c r="G43" s="761"/>
      <c r="H43" s="761"/>
      <c r="I43" s="761"/>
      <c r="J43" s="761"/>
      <c r="K43" s="1818"/>
      <c r="L43" s="810" t="s">
        <v>228</v>
      </c>
      <c r="M43" s="761"/>
      <c r="N43" s="761"/>
      <c r="O43" s="761"/>
      <c r="P43" s="761"/>
      <c r="Q43" s="761"/>
      <c r="R43" s="761"/>
      <c r="S43" s="761"/>
      <c r="T43" s="761"/>
      <c r="U43" s="761"/>
      <c r="V43" s="761"/>
      <c r="W43" s="761"/>
      <c r="X43" s="761"/>
      <c r="Y43" s="761"/>
      <c r="Z43" s="761"/>
      <c r="AA43" s="761"/>
      <c r="AB43" s="761"/>
      <c r="AC43" s="761"/>
      <c r="AD43" s="761"/>
      <c r="AE43" s="761"/>
      <c r="AF43" s="811" t="s">
        <v>112</v>
      </c>
      <c r="AG43" s="812"/>
      <c r="AH43" s="812"/>
      <c r="AI43" s="812"/>
      <c r="AJ43" s="1820"/>
      <c r="AK43" s="1997" t="str">
        <f>IF(Threshold!AK53="","",Threshold!AK53)</f>
        <v/>
      </c>
      <c r="AL43" s="1998"/>
    </row>
    <row r="44" spans="1:39" s="24" customFormat="1" ht="15" customHeight="1">
      <c r="A44" s="1016" t="s">
        <v>152</v>
      </c>
      <c r="B44" s="1017"/>
      <c r="C44" s="1017"/>
      <c r="D44" s="1018" t="s">
        <v>233</v>
      </c>
      <c r="E44" s="1019"/>
      <c r="F44" s="1019"/>
      <c r="G44" s="1019"/>
      <c r="H44" s="1019"/>
      <c r="I44" s="1019"/>
      <c r="J44" s="1019"/>
      <c r="K44" s="1020"/>
      <c r="L44" s="1021" t="s">
        <v>234</v>
      </c>
      <c r="M44" s="1022"/>
      <c r="N44" s="1022"/>
      <c r="O44" s="1022"/>
      <c r="P44" s="1022"/>
      <c r="Q44" s="1022"/>
      <c r="R44" s="1022"/>
      <c r="S44" s="1022"/>
      <c r="T44" s="1022"/>
      <c r="U44" s="1022"/>
      <c r="V44" s="1022"/>
      <c r="W44" s="1022"/>
      <c r="X44" s="1022"/>
      <c r="Y44" s="1022"/>
      <c r="Z44" s="1022"/>
      <c r="AA44" s="1022"/>
      <c r="AB44" s="1022"/>
      <c r="AC44" s="1022"/>
      <c r="AD44" s="1022"/>
      <c r="AE44" s="1023"/>
      <c r="AF44" s="1024" t="s">
        <v>112</v>
      </c>
      <c r="AG44" s="1025"/>
      <c r="AH44" s="1025"/>
      <c r="AI44" s="1025"/>
      <c r="AJ44" s="1026"/>
      <c r="AK44" s="1997" t="str">
        <f>IF(Threshold!AK58="","",Threshold!AK58)</f>
        <v/>
      </c>
      <c r="AL44" s="1998"/>
      <c r="AM44" s="23"/>
    </row>
    <row r="45" spans="1:39" s="24" customFormat="1" ht="30" customHeight="1">
      <c r="A45" s="1083" t="s">
        <v>152</v>
      </c>
      <c r="B45" s="1084"/>
      <c r="C45" s="1084"/>
      <c r="D45" s="1085" t="s">
        <v>264</v>
      </c>
      <c r="E45" s="1086"/>
      <c r="F45" s="1086"/>
      <c r="G45" s="1086"/>
      <c r="H45" s="1086"/>
      <c r="I45" s="1086"/>
      <c r="J45" s="1086"/>
      <c r="K45" s="1899"/>
      <c r="L45" s="1077" t="s">
        <v>265</v>
      </c>
      <c r="M45" s="1078"/>
      <c r="N45" s="1078"/>
      <c r="O45" s="1078"/>
      <c r="P45" s="1078"/>
      <c r="Q45" s="1078"/>
      <c r="R45" s="1078"/>
      <c r="S45" s="1078"/>
      <c r="T45" s="1078"/>
      <c r="U45" s="1078"/>
      <c r="V45" s="1078"/>
      <c r="W45" s="1078"/>
      <c r="X45" s="1078"/>
      <c r="Y45" s="1078"/>
      <c r="Z45" s="1078"/>
      <c r="AA45" s="1078"/>
      <c r="AB45" s="1078"/>
      <c r="AC45" s="1078"/>
      <c r="AD45" s="1078"/>
      <c r="AE45" s="2016"/>
      <c r="AF45" s="811" t="s">
        <v>112</v>
      </c>
      <c r="AG45" s="812"/>
      <c r="AH45" s="812"/>
      <c r="AI45" s="812"/>
      <c r="AJ45" s="1820"/>
      <c r="AK45" s="1997" t="str">
        <f>IF(Threshold!AK85="","",Threshold!AK85)</f>
        <v/>
      </c>
      <c r="AL45" s="1998"/>
      <c r="AM45" s="23"/>
    </row>
    <row r="46" spans="1:39" s="24" customFormat="1" ht="60" customHeight="1">
      <c r="A46" s="1083" t="s">
        <v>152</v>
      </c>
      <c r="B46" s="1084"/>
      <c r="C46" s="1084"/>
      <c r="D46" s="1085" t="s">
        <v>269</v>
      </c>
      <c r="E46" s="1086"/>
      <c r="F46" s="1086"/>
      <c r="G46" s="1086"/>
      <c r="H46" s="1086"/>
      <c r="I46" s="1086"/>
      <c r="J46" s="1086"/>
      <c r="K46" s="1899"/>
      <c r="L46" s="1077" t="s">
        <v>2265</v>
      </c>
      <c r="M46" s="1078"/>
      <c r="N46" s="1078"/>
      <c r="O46" s="1078"/>
      <c r="P46" s="1078"/>
      <c r="Q46" s="1078"/>
      <c r="R46" s="1078"/>
      <c r="S46" s="1078"/>
      <c r="T46" s="1078"/>
      <c r="U46" s="1078"/>
      <c r="V46" s="1078"/>
      <c r="W46" s="1078"/>
      <c r="X46" s="1078"/>
      <c r="Y46" s="1078"/>
      <c r="Z46" s="1078"/>
      <c r="AA46" s="1078"/>
      <c r="AB46" s="1078"/>
      <c r="AC46" s="1078"/>
      <c r="AD46" s="1078"/>
      <c r="AE46" s="2016"/>
      <c r="AF46" s="811" t="s">
        <v>112</v>
      </c>
      <c r="AG46" s="812"/>
      <c r="AH46" s="812"/>
      <c r="AI46" s="812"/>
      <c r="AJ46" s="1820"/>
      <c r="AK46" s="1997" t="str">
        <f>IF(Threshold!AK89="","",Threshold!AK89)</f>
        <v/>
      </c>
      <c r="AL46" s="1998"/>
      <c r="AM46" s="23"/>
    </row>
    <row r="47" spans="1:39" s="24" customFormat="1" ht="15" customHeight="1">
      <c r="A47" s="1083" t="s">
        <v>152</v>
      </c>
      <c r="B47" s="1084"/>
      <c r="C47" s="1084"/>
      <c r="D47" s="1085" t="s">
        <v>272</v>
      </c>
      <c r="E47" s="1086"/>
      <c r="F47" s="1086"/>
      <c r="G47" s="1086"/>
      <c r="H47" s="1086"/>
      <c r="I47" s="1086"/>
      <c r="J47" s="1086"/>
      <c r="K47" s="1899"/>
      <c r="L47" s="1088" t="s">
        <v>273</v>
      </c>
      <c r="M47" s="1089"/>
      <c r="N47" s="1089"/>
      <c r="O47" s="1089"/>
      <c r="P47" s="1089"/>
      <c r="Q47" s="1089"/>
      <c r="R47" s="1089"/>
      <c r="S47" s="1089"/>
      <c r="T47" s="1089"/>
      <c r="U47" s="1089"/>
      <c r="V47" s="1089"/>
      <c r="W47" s="1089"/>
      <c r="X47" s="1089"/>
      <c r="Y47" s="1089"/>
      <c r="Z47" s="1089"/>
      <c r="AA47" s="1089"/>
      <c r="AB47" s="1089"/>
      <c r="AC47" s="1089"/>
      <c r="AD47" s="1089"/>
      <c r="AE47" s="1900"/>
      <c r="AF47" s="811" t="s">
        <v>112</v>
      </c>
      <c r="AG47" s="812"/>
      <c r="AH47" s="812"/>
      <c r="AI47" s="812"/>
      <c r="AJ47" s="1820"/>
      <c r="AK47" s="1997" t="str">
        <f>IF(Threshold!AK91="","",Threshold!AK91)</f>
        <v/>
      </c>
      <c r="AL47" s="1998"/>
      <c r="AM47" s="23"/>
    </row>
    <row r="48" spans="1:39" s="24" customFormat="1" ht="60" customHeight="1">
      <c r="A48" s="1083" t="s">
        <v>152</v>
      </c>
      <c r="B48" s="1084"/>
      <c r="C48" s="1084"/>
      <c r="D48" s="1085" t="s">
        <v>274</v>
      </c>
      <c r="E48" s="1086"/>
      <c r="F48" s="1086"/>
      <c r="G48" s="1086"/>
      <c r="H48" s="1086"/>
      <c r="I48" s="1086"/>
      <c r="J48" s="1086"/>
      <c r="K48" s="1899"/>
      <c r="L48" s="1088" t="s">
        <v>275</v>
      </c>
      <c r="M48" s="1089"/>
      <c r="N48" s="1089"/>
      <c r="O48" s="1089"/>
      <c r="P48" s="1089"/>
      <c r="Q48" s="1089"/>
      <c r="R48" s="1089"/>
      <c r="S48" s="1089"/>
      <c r="T48" s="1089"/>
      <c r="U48" s="1089"/>
      <c r="V48" s="1089"/>
      <c r="W48" s="1089"/>
      <c r="X48" s="1089"/>
      <c r="Y48" s="1089"/>
      <c r="Z48" s="1089"/>
      <c r="AA48" s="1089"/>
      <c r="AB48" s="1089"/>
      <c r="AC48" s="1089"/>
      <c r="AD48" s="1089"/>
      <c r="AE48" s="1900"/>
      <c r="AF48" s="811" t="s">
        <v>112</v>
      </c>
      <c r="AG48" s="812"/>
      <c r="AH48" s="812"/>
      <c r="AI48" s="812"/>
      <c r="AJ48" s="1820"/>
      <c r="AK48" s="1997" t="str">
        <f>IF(Threshold!AK92="","",Threshold!AK92)</f>
        <v/>
      </c>
      <c r="AL48" s="1998"/>
      <c r="AM48" s="23"/>
    </row>
    <row r="49" spans="1:40" s="24" customFormat="1" ht="30" customHeight="1">
      <c r="A49" s="1083" t="s">
        <v>152</v>
      </c>
      <c r="B49" s="1084"/>
      <c r="C49" s="1084"/>
      <c r="D49" s="1085" t="s">
        <v>287</v>
      </c>
      <c r="E49" s="1086"/>
      <c r="F49" s="1086"/>
      <c r="G49" s="1086"/>
      <c r="H49" s="1086"/>
      <c r="I49" s="1086"/>
      <c r="J49" s="1086"/>
      <c r="K49" s="1899"/>
      <c r="L49" s="1077" t="s">
        <v>288</v>
      </c>
      <c r="M49" s="1078"/>
      <c r="N49" s="1078"/>
      <c r="O49" s="1078"/>
      <c r="P49" s="1078"/>
      <c r="Q49" s="1078"/>
      <c r="R49" s="1078"/>
      <c r="S49" s="1078"/>
      <c r="T49" s="1078"/>
      <c r="U49" s="1078"/>
      <c r="V49" s="1078"/>
      <c r="W49" s="1078"/>
      <c r="X49" s="1078"/>
      <c r="Y49" s="1078"/>
      <c r="Z49" s="1078"/>
      <c r="AA49" s="1078"/>
      <c r="AB49" s="1078"/>
      <c r="AC49" s="1078"/>
      <c r="AD49" s="1078"/>
      <c r="AE49" s="2016"/>
      <c r="AF49" s="811" t="s">
        <v>112</v>
      </c>
      <c r="AG49" s="812"/>
      <c r="AH49" s="812"/>
      <c r="AI49" s="812"/>
      <c r="AJ49" s="1820"/>
      <c r="AK49" s="1997" t="str">
        <f>IF(Threshold!AK107="","",Threshold!AK107)</f>
        <v/>
      </c>
      <c r="AL49" s="1998"/>
      <c r="AM49" s="360"/>
      <c r="AN49" s="363"/>
    </row>
    <row r="50" spans="1:40" s="24" customFormat="1" ht="30" customHeight="1">
      <c r="A50" s="1083" t="s">
        <v>152</v>
      </c>
      <c r="B50" s="1084"/>
      <c r="C50" s="1084"/>
      <c r="D50" s="1085" t="s">
        <v>290</v>
      </c>
      <c r="E50" s="1086"/>
      <c r="F50" s="1086"/>
      <c r="G50" s="1086"/>
      <c r="H50" s="1086"/>
      <c r="I50" s="1086"/>
      <c r="J50" s="1086"/>
      <c r="K50" s="1899"/>
      <c r="L50" s="1077" t="s">
        <v>291</v>
      </c>
      <c r="M50" s="1078"/>
      <c r="N50" s="1078"/>
      <c r="O50" s="1078"/>
      <c r="P50" s="1078"/>
      <c r="Q50" s="1078"/>
      <c r="R50" s="1078"/>
      <c r="S50" s="1078"/>
      <c r="T50" s="1078"/>
      <c r="U50" s="1078"/>
      <c r="V50" s="1078"/>
      <c r="W50" s="1078"/>
      <c r="X50" s="1078"/>
      <c r="Y50" s="1078"/>
      <c r="Z50" s="1078"/>
      <c r="AA50" s="1078"/>
      <c r="AB50" s="1078"/>
      <c r="AC50" s="1078"/>
      <c r="AD50" s="1078"/>
      <c r="AE50" s="2016"/>
      <c r="AF50" s="811" t="s">
        <v>112</v>
      </c>
      <c r="AG50" s="812"/>
      <c r="AH50" s="812"/>
      <c r="AI50" s="812"/>
      <c r="AJ50" s="1820"/>
      <c r="AK50" s="1997" t="str">
        <f>IF(Threshold!AK109="","",Threshold!AK109)</f>
        <v/>
      </c>
      <c r="AL50" s="1998"/>
      <c r="AM50" s="23"/>
    </row>
    <row r="51" spans="1:40" s="24" customFormat="1" ht="15" customHeight="1">
      <c r="A51" s="1069" t="s">
        <v>152</v>
      </c>
      <c r="B51" s="1070"/>
      <c r="C51" s="1070"/>
      <c r="D51" s="1071" t="s">
        <v>302</v>
      </c>
      <c r="E51" s="1072"/>
      <c r="F51" s="1072"/>
      <c r="G51" s="1072"/>
      <c r="H51" s="1072"/>
      <c r="I51" s="1072"/>
      <c r="J51" s="1072"/>
      <c r="K51" s="2020"/>
      <c r="L51" s="1077" t="s">
        <v>234</v>
      </c>
      <c r="M51" s="1078"/>
      <c r="N51" s="1078"/>
      <c r="O51" s="1078"/>
      <c r="P51" s="1078"/>
      <c r="Q51" s="1078"/>
      <c r="R51" s="1078"/>
      <c r="S51" s="1078"/>
      <c r="T51" s="1078"/>
      <c r="U51" s="1078"/>
      <c r="V51" s="1078"/>
      <c r="W51" s="1078"/>
      <c r="X51" s="1078"/>
      <c r="Y51" s="1078"/>
      <c r="Z51" s="1078"/>
      <c r="AA51" s="1078"/>
      <c r="AB51" s="1078"/>
      <c r="AC51" s="1078"/>
      <c r="AD51" s="2016"/>
      <c r="AE51" s="1074" t="s">
        <v>112</v>
      </c>
      <c r="AF51" s="1075"/>
      <c r="AG51" s="1075"/>
      <c r="AH51" s="1075"/>
      <c r="AI51" s="2021"/>
      <c r="AJ51" s="1816" t="str">
        <f>IF(Threshold!AJ120="","",Threshold!AJ120)</f>
        <v/>
      </c>
      <c r="AK51" s="1816"/>
      <c r="AL51" s="2022"/>
      <c r="AM51" s="23"/>
    </row>
    <row r="52" spans="1:40" s="24" customFormat="1" ht="15" customHeight="1">
      <c r="A52" s="1069" t="s">
        <v>152</v>
      </c>
      <c r="B52" s="1070"/>
      <c r="C52" s="1070"/>
      <c r="D52" s="1071" t="s">
        <v>305</v>
      </c>
      <c r="E52" s="1072"/>
      <c r="F52" s="1072"/>
      <c r="G52" s="1072"/>
      <c r="H52" s="1072"/>
      <c r="I52" s="1072"/>
      <c r="J52" s="1072"/>
      <c r="K52" s="2020"/>
      <c r="L52" s="1077" t="s">
        <v>306</v>
      </c>
      <c r="M52" s="1078"/>
      <c r="N52" s="1078"/>
      <c r="O52" s="1078"/>
      <c r="P52" s="1078"/>
      <c r="Q52" s="1078"/>
      <c r="R52" s="1078"/>
      <c r="S52" s="1078"/>
      <c r="T52" s="1078"/>
      <c r="U52" s="1078"/>
      <c r="V52" s="1078"/>
      <c r="W52" s="1078"/>
      <c r="X52" s="1078"/>
      <c r="Y52" s="1078"/>
      <c r="Z52" s="1078"/>
      <c r="AA52" s="1078"/>
      <c r="AB52" s="1078"/>
      <c r="AC52" s="1078"/>
      <c r="AD52" s="1078"/>
      <c r="AE52" s="2016"/>
      <c r="AF52" s="1074" t="s">
        <v>112</v>
      </c>
      <c r="AG52" s="1075"/>
      <c r="AH52" s="1075"/>
      <c r="AI52" s="1075"/>
      <c r="AJ52" s="2021"/>
      <c r="AK52" s="1997" t="str">
        <f>IF(Threshold!AK123="","",Threshold!AK123)</f>
        <v/>
      </c>
      <c r="AL52" s="1998"/>
      <c r="AM52" s="23"/>
    </row>
    <row r="53" spans="1:40" s="24" customFormat="1" ht="15" customHeight="1">
      <c r="A53" s="1069" t="s">
        <v>152</v>
      </c>
      <c r="B53" s="1070"/>
      <c r="C53" s="1070"/>
      <c r="D53" s="1071" t="s">
        <v>309</v>
      </c>
      <c r="E53" s="1072"/>
      <c r="F53" s="1072"/>
      <c r="G53" s="1072"/>
      <c r="H53" s="1072"/>
      <c r="I53" s="1072"/>
      <c r="J53" s="1072"/>
      <c r="K53" s="2020"/>
      <c r="L53" s="1077" t="s">
        <v>310</v>
      </c>
      <c r="M53" s="1078"/>
      <c r="N53" s="1078"/>
      <c r="O53" s="1078"/>
      <c r="P53" s="1078"/>
      <c r="Q53" s="1078"/>
      <c r="R53" s="1078"/>
      <c r="S53" s="1078"/>
      <c r="T53" s="1078"/>
      <c r="U53" s="1078"/>
      <c r="V53" s="1078"/>
      <c r="W53" s="1078"/>
      <c r="X53" s="1078"/>
      <c r="Y53" s="1078"/>
      <c r="Z53" s="1078"/>
      <c r="AA53" s="1078"/>
      <c r="AB53" s="1078"/>
      <c r="AC53" s="1078"/>
      <c r="AD53" s="1078"/>
      <c r="AE53" s="2016"/>
      <c r="AF53" s="1074" t="s">
        <v>112</v>
      </c>
      <c r="AG53" s="1075"/>
      <c r="AH53" s="1075"/>
      <c r="AI53" s="1075"/>
      <c r="AJ53" s="1075"/>
      <c r="AK53" s="1997" t="str">
        <f>IF(Threshold!AK126="","",Threshold!AK126)</f>
        <v/>
      </c>
      <c r="AL53" s="1998"/>
      <c r="AM53" s="23"/>
    </row>
    <row r="54" spans="1:40" ht="18" customHeight="1">
      <c r="A54" s="2013" t="s">
        <v>2266</v>
      </c>
      <c r="B54" s="2014"/>
      <c r="C54" s="2014"/>
      <c r="D54" s="2014"/>
      <c r="E54" s="2014"/>
      <c r="F54" s="2014"/>
      <c r="G54" s="2014"/>
      <c r="H54" s="2014"/>
      <c r="I54" s="2014"/>
      <c r="J54" s="2014"/>
      <c r="K54" s="2014"/>
      <c r="L54" s="2014"/>
      <c r="M54" s="2014"/>
      <c r="N54" s="2014"/>
      <c r="O54" s="2014"/>
      <c r="P54" s="2014"/>
      <c r="Q54" s="2014"/>
      <c r="R54" s="2014"/>
      <c r="S54" s="2014"/>
      <c r="T54" s="2014"/>
      <c r="U54" s="2014"/>
      <c r="V54" s="2014"/>
      <c r="W54" s="2014"/>
      <c r="X54" s="2014"/>
      <c r="Y54" s="2014"/>
      <c r="Z54" s="2014"/>
      <c r="AA54" s="2014"/>
      <c r="AB54" s="2014"/>
      <c r="AC54" s="2014"/>
      <c r="AD54" s="2014"/>
      <c r="AE54" s="2014"/>
      <c r="AF54" s="2014"/>
      <c r="AG54" s="2014"/>
      <c r="AH54" s="2014"/>
      <c r="AI54" s="2014"/>
      <c r="AJ54" s="2014"/>
      <c r="AK54" s="2014"/>
      <c r="AL54" s="2015"/>
    </row>
    <row r="55" spans="1:40" s="352" customFormat="1" ht="15" customHeight="1">
      <c r="A55" s="2023" t="s">
        <v>152</v>
      </c>
      <c r="B55" s="2024"/>
      <c r="C55" s="2025"/>
      <c r="D55" s="2026" t="s">
        <v>349</v>
      </c>
      <c r="E55" s="2026"/>
      <c r="F55" s="2026"/>
      <c r="G55" s="2026"/>
      <c r="H55" s="2026"/>
      <c r="I55" s="2026"/>
      <c r="J55" s="2026"/>
      <c r="K55" s="2026"/>
      <c r="L55" s="1159" t="s">
        <v>350</v>
      </c>
      <c r="M55" s="825"/>
      <c r="N55" s="825"/>
      <c r="O55" s="825"/>
      <c r="P55" s="825"/>
      <c r="Q55" s="825"/>
      <c r="R55" s="825"/>
      <c r="S55" s="825"/>
      <c r="T55" s="825"/>
      <c r="U55" s="825"/>
      <c r="V55" s="825"/>
      <c r="W55" s="825"/>
      <c r="X55" s="825"/>
      <c r="Y55" s="825"/>
      <c r="Z55" s="825"/>
      <c r="AA55" s="825"/>
      <c r="AB55" s="825"/>
      <c r="AC55" s="825"/>
      <c r="AD55" s="825"/>
      <c r="AE55" s="2017"/>
      <c r="AF55" s="1160" t="s">
        <v>112</v>
      </c>
      <c r="AG55" s="1161"/>
      <c r="AH55" s="1161"/>
      <c r="AI55" s="1161"/>
      <c r="AJ55" s="2027"/>
      <c r="AK55" s="1997" t="str">
        <f>IF('Certification &amp; Legal'!AK36="","",'Certification &amp; Legal'!AK36)</f>
        <v/>
      </c>
      <c r="AL55" s="1998"/>
    </row>
    <row r="56" spans="1:40" ht="18" customHeight="1">
      <c r="A56" s="2013" t="s">
        <v>2267</v>
      </c>
      <c r="B56" s="2014"/>
      <c r="C56" s="2014"/>
      <c r="D56" s="2014"/>
      <c r="E56" s="2014"/>
      <c r="F56" s="2014"/>
      <c r="G56" s="2014"/>
      <c r="H56" s="2014"/>
      <c r="I56" s="2014"/>
      <c r="J56" s="2014"/>
      <c r="K56" s="2014"/>
      <c r="L56" s="2014"/>
      <c r="M56" s="2014"/>
      <c r="N56" s="2014"/>
      <c r="O56" s="2014"/>
      <c r="P56" s="2014"/>
      <c r="Q56" s="2014"/>
      <c r="R56" s="2014"/>
      <c r="S56" s="2014"/>
      <c r="T56" s="2014"/>
      <c r="U56" s="2014"/>
      <c r="V56" s="2014"/>
      <c r="W56" s="2014"/>
      <c r="X56" s="2014"/>
      <c r="Y56" s="2014"/>
      <c r="Z56" s="2014"/>
      <c r="AA56" s="2014"/>
      <c r="AB56" s="2014"/>
      <c r="AC56" s="2014"/>
      <c r="AD56" s="2014"/>
      <c r="AE56" s="2014"/>
      <c r="AF56" s="2014"/>
      <c r="AG56" s="2014"/>
      <c r="AH56" s="2014"/>
      <c r="AI56" s="2014"/>
      <c r="AJ56" s="2014"/>
      <c r="AK56" s="2014"/>
      <c r="AL56" s="2015"/>
    </row>
    <row r="57" spans="1:40" s="24" customFormat="1" ht="30" customHeight="1">
      <c r="A57" s="1083" t="s">
        <v>152</v>
      </c>
      <c r="B57" s="1084"/>
      <c r="C57" s="1084"/>
      <c r="D57" s="1085" t="s">
        <v>606</v>
      </c>
      <c r="E57" s="1086"/>
      <c r="F57" s="1086"/>
      <c r="G57" s="1086"/>
      <c r="H57" s="1086"/>
      <c r="I57" s="1086"/>
      <c r="J57" s="1086"/>
      <c r="K57" s="1899"/>
      <c r="L57" s="1077" t="s">
        <v>2268</v>
      </c>
      <c r="M57" s="1078"/>
      <c r="N57" s="1078"/>
      <c r="O57" s="1078"/>
      <c r="P57" s="1078"/>
      <c r="Q57" s="1078"/>
      <c r="R57" s="1078"/>
      <c r="S57" s="1078"/>
      <c r="T57" s="1078"/>
      <c r="U57" s="1078"/>
      <c r="V57" s="1078"/>
      <c r="W57" s="1078"/>
      <c r="X57" s="1078"/>
      <c r="Y57" s="1078"/>
      <c r="Z57" s="1078"/>
      <c r="AA57" s="1078"/>
      <c r="AB57" s="1078"/>
      <c r="AC57" s="1078"/>
      <c r="AD57" s="1078"/>
      <c r="AE57" s="2016"/>
      <c r="AF57" s="811" t="s">
        <v>112</v>
      </c>
      <c r="AG57" s="812"/>
      <c r="AH57" s="812"/>
      <c r="AI57" s="812"/>
      <c r="AJ57" s="1820"/>
      <c r="AK57" s="1997" t="str">
        <f>IF('Award, Match, and Revenue'!N27="","",'Award, Match, and Revenue'!N27)</f>
        <v/>
      </c>
      <c r="AL57" s="1998"/>
      <c r="AM57" s="23"/>
    </row>
    <row r="58" spans="1:40" s="24" customFormat="1" ht="30" customHeight="1">
      <c r="A58" s="1083" t="s">
        <v>152</v>
      </c>
      <c r="B58" s="1084"/>
      <c r="C58" s="1084"/>
      <c r="D58" s="1085" t="s">
        <v>609</v>
      </c>
      <c r="E58" s="1086"/>
      <c r="F58" s="1086"/>
      <c r="G58" s="1086"/>
      <c r="H58" s="1086"/>
      <c r="I58" s="1086"/>
      <c r="J58" s="1086"/>
      <c r="K58" s="1899"/>
      <c r="L58" s="1077" t="s">
        <v>610</v>
      </c>
      <c r="M58" s="1078"/>
      <c r="N58" s="1078"/>
      <c r="O58" s="1078"/>
      <c r="P58" s="1078"/>
      <c r="Q58" s="1078"/>
      <c r="R58" s="1078"/>
      <c r="S58" s="1078"/>
      <c r="T58" s="1078"/>
      <c r="U58" s="1078"/>
      <c r="V58" s="1078"/>
      <c r="W58" s="1078"/>
      <c r="X58" s="1078"/>
      <c r="Y58" s="1078"/>
      <c r="Z58" s="1078"/>
      <c r="AA58" s="1078"/>
      <c r="AB58" s="1078"/>
      <c r="AC58" s="1078"/>
      <c r="AD58" s="1078"/>
      <c r="AE58" s="2016"/>
      <c r="AF58" s="811" t="s">
        <v>112</v>
      </c>
      <c r="AG58" s="812"/>
      <c r="AH58" s="812"/>
      <c r="AI58" s="812"/>
      <c r="AJ58" s="1820"/>
      <c r="AK58" s="2011" t="str">
        <f>IF('Award, Match, and Revenue'!N30="","",'Award, Match, and Revenue'!N30)</f>
        <v/>
      </c>
      <c r="AL58" s="2012"/>
      <c r="AM58" s="23"/>
    </row>
    <row r="59" spans="1:40" s="24" customFormat="1" ht="30" customHeight="1">
      <c r="A59" s="1083" t="s">
        <v>152</v>
      </c>
      <c r="B59" s="1084"/>
      <c r="C59" s="1084"/>
      <c r="D59" s="1085" t="s">
        <v>652</v>
      </c>
      <c r="E59" s="1086"/>
      <c r="F59" s="1086"/>
      <c r="G59" s="1086"/>
      <c r="H59" s="1086"/>
      <c r="I59" s="1086"/>
      <c r="J59" s="1086"/>
      <c r="K59" s="1899"/>
      <c r="L59" s="1077" t="s">
        <v>2269</v>
      </c>
      <c r="M59" s="1078"/>
      <c r="N59" s="1078"/>
      <c r="O59" s="1078"/>
      <c r="P59" s="1078"/>
      <c r="Q59" s="1078"/>
      <c r="R59" s="1078"/>
      <c r="S59" s="1078"/>
      <c r="T59" s="1078"/>
      <c r="U59" s="1078"/>
      <c r="V59" s="1078"/>
      <c r="W59" s="1078"/>
      <c r="X59" s="1078"/>
      <c r="Y59" s="1078"/>
      <c r="Z59" s="1078"/>
      <c r="AA59" s="1078"/>
      <c r="AB59" s="1078"/>
      <c r="AC59" s="1078"/>
      <c r="AD59" s="1078"/>
      <c r="AE59" s="2016"/>
      <c r="AF59" s="811" t="s">
        <v>112</v>
      </c>
      <c r="AG59" s="812"/>
      <c r="AH59" s="812"/>
      <c r="AI59" s="812"/>
      <c r="AJ59" s="1820"/>
      <c r="AK59" s="2011" t="str">
        <f>IF('Award, Match, and Revenue'!N47="","",'Award, Match, and Revenue'!N47)</f>
        <v/>
      </c>
      <c r="AL59" s="2012"/>
      <c r="AM59" s="23"/>
    </row>
    <row r="60" spans="1:40" ht="18" customHeight="1">
      <c r="A60" s="2013" t="s">
        <v>2270</v>
      </c>
      <c r="B60" s="2014"/>
      <c r="C60" s="2014"/>
      <c r="D60" s="2014"/>
      <c r="E60" s="2014"/>
      <c r="F60" s="2014"/>
      <c r="G60" s="2014"/>
      <c r="H60" s="2014"/>
      <c r="I60" s="2014"/>
      <c r="J60" s="2014"/>
      <c r="K60" s="2014"/>
      <c r="L60" s="2014"/>
      <c r="M60" s="2014"/>
      <c r="N60" s="2014"/>
      <c r="O60" s="2014"/>
      <c r="P60" s="2014"/>
      <c r="Q60" s="2014"/>
      <c r="R60" s="2014"/>
      <c r="S60" s="2014"/>
      <c r="T60" s="2014"/>
      <c r="U60" s="2014"/>
      <c r="V60" s="2014"/>
      <c r="W60" s="2014"/>
      <c r="X60" s="2014"/>
      <c r="Y60" s="2014"/>
      <c r="Z60" s="2014"/>
      <c r="AA60" s="2014"/>
      <c r="AB60" s="2014"/>
      <c r="AC60" s="2014"/>
      <c r="AD60" s="2014"/>
      <c r="AE60" s="2014"/>
      <c r="AF60" s="2014"/>
      <c r="AG60" s="2014"/>
      <c r="AH60" s="2014"/>
      <c r="AI60" s="2014"/>
      <c r="AJ60" s="2014"/>
      <c r="AK60" s="2014"/>
      <c r="AL60" s="2015"/>
    </row>
    <row r="61" spans="1:40" s="24" customFormat="1" ht="15" customHeight="1">
      <c r="A61" s="1083" t="s">
        <v>152</v>
      </c>
      <c r="B61" s="1084"/>
      <c r="C61" s="1084"/>
      <c r="D61" s="1085" t="s">
        <v>1862</v>
      </c>
      <c r="E61" s="1086"/>
      <c r="F61" s="1086"/>
      <c r="G61" s="1086"/>
      <c r="H61" s="1086"/>
      <c r="I61" s="1086"/>
      <c r="J61" s="1086"/>
      <c r="K61" s="1899"/>
      <c r="L61" s="1088" t="s">
        <v>2271</v>
      </c>
      <c r="M61" s="1089"/>
      <c r="N61" s="1089"/>
      <c r="O61" s="1089"/>
      <c r="P61" s="1089"/>
      <c r="Q61" s="1089"/>
      <c r="R61" s="1089"/>
      <c r="S61" s="1089"/>
      <c r="T61" s="1089"/>
      <c r="U61" s="1089"/>
      <c r="V61" s="1089"/>
      <c r="W61" s="1089"/>
      <c r="X61" s="1089"/>
      <c r="Y61" s="1089"/>
      <c r="Z61" s="1089"/>
      <c r="AA61" s="1089"/>
      <c r="AB61" s="1089"/>
      <c r="AC61" s="1089"/>
      <c r="AD61" s="1089"/>
      <c r="AE61" s="1900"/>
      <c r="AF61" s="811" t="s">
        <v>112</v>
      </c>
      <c r="AG61" s="812"/>
      <c r="AH61" s="812"/>
      <c r="AI61" s="812"/>
      <c r="AJ61" s="1820"/>
      <c r="AK61" s="1997" t="str">
        <f>IF('Dev Sources'!M15="","",'Dev Sources'!M15)</f>
        <v/>
      </c>
      <c r="AL61" s="1998"/>
      <c r="AM61" s="23"/>
    </row>
    <row r="62" spans="1:40" ht="18" customHeight="1">
      <c r="A62" s="2013" t="s">
        <v>2272</v>
      </c>
      <c r="B62" s="2014"/>
      <c r="C62" s="2014"/>
      <c r="D62" s="2014"/>
      <c r="E62" s="2014"/>
      <c r="F62" s="2014"/>
      <c r="G62" s="2014"/>
      <c r="H62" s="2014"/>
      <c r="I62" s="2014"/>
      <c r="J62" s="2014"/>
      <c r="K62" s="2014"/>
      <c r="L62" s="2014"/>
      <c r="M62" s="2014"/>
      <c r="N62" s="2014"/>
      <c r="O62" s="2014"/>
      <c r="P62" s="2014"/>
      <c r="Q62" s="2014"/>
      <c r="R62" s="2014"/>
      <c r="S62" s="2014"/>
      <c r="T62" s="2014"/>
      <c r="U62" s="2014"/>
      <c r="V62" s="2014"/>
      <c r="W62" s="2014"/>
      <c r="X62" s="2014"/>
      <c r="Y62" s="2014"/>
      <c r="Z62" s="2014"/>
      <c r="AA62" s="2014"/>
      <c r="AB62" s="2014"/>
      <c r="AC62" s="2014"/>
      <c r="AD62" s="2014"/>
      <c r="AE62" s="2014"/>
      <c r="AF62" s="2014"/>
      <c r="AG62" s="2014"/>
      <c r="AH62" s="2014"/>
      <c r="AI62" s="2014"/>
      <c r="AJ62" s="2014"/>
      <c r="AK62" s="2014"/>
      <c r="AL62" s="2015"/>
    </row>
    <row r="63" spans="1:40" s="29" customFormat="1" ht="30" customHeight="1">
      <c r="A63" s="760" t="s">
        <v>109</v>
      </c>
      <c r="B63" s="761"/>
      <c r="C63" s="1818"/>
      <c r="D63" s="1819" t="str">
        <f>'Application Scoring Criteria'!D33</f>
        <v>Subsidy Program #1 Name</v>
      </c>
      <c r="E63" s="761"/>
      <c r="F63" s="761"/>
      <c r="G63" s="761"/>
      <c r="H63" s="761"/>
      <c r="I63" s="761"/>
      <c r="J63" s="761"/>
      <c r="K63" s="1818"/>
      <c r="L63" s="810" t="s">
        <v>2169</v>
      </c>
      <c r="M63" s="761"/>
      <c r="N63" s="761"/>
      <c r="O63" s="761"/>
      <c r="P63" s="761"/>
      <c r="Q63" s="761"/>
      <c r="R63" s="761"/>
      <c r="S63" s="761"/>
      <c r="T63" s="761"/>
      <c r="U63" s="761"/>
      <c r="V63" s="761"/>
      <c r="W63" s="761"/>
      <c r="X63" s="761"/>
      <c r="Y63" s="761"/>
      <c r="Z63" s="761"/>
      <c r="AA63" s="761"/>
      <c r="AB63" s="761"/>
      <c r="AC63" s="761"/>
      <c r="AD63" s="761"/>
      <c r="AE63" s="761"/>
      <c r="AF63" s="811" t="s">
        <v>112</v>
      </c>
      <c r="AG63" s="812"/>
      <c r="AH63" s="812"/>
      <c r="AI63" s="812"/>
      <c r="AJ63" s="1820"/>
      <c r="AK63" s="1997" t="str">
        <f>IF('Application Scoring Criteria'!AK33="","",'Application Scoring Criteria'!AK33)</f>
        <v/>
      </c>
      <c r="AL63" s="1998"/>
    </row>
    <row r="64" spans="1:40" s="29" customFormat="1" ht="30" customHeight="1">
      <c r="A64" s="760" t="s">
        <v>109</v>
      </c>
      <c r="B64" s="761"/>
      <c r="C64" s="1818"/>
      <c r="D64" s="1819" t="str">
        <f>'Application Scoring Criteria'!D34</f>
        <v>Subsidy Program #2 Name</v>
      </c>
      <c r="E64" s="761"/>
      <c r="F64" s="761"/>
      <c r="G64" s="761"/>
      <c r="H64" s="761"/>
      <c r="I64" s="761"/>
      <c r="J64" s="761"/>
      <c r="K64" s="1818"/>
      <c r="L64" s="810" t="s">
        <v>2169</v>
      </c>
      <c r="M64" s="761"/>
      <c r="N64" s="761"/>
      <c r="O64" s="761"/>
      <c r="P64" s="761"/>
      <c r="Q64" s="761"/>
      <c r="R64" s="761"/>
      <c r="S64" s="761"/>
      <c r="T64" s="761"/>
      <c r="U64" s="761"/>
      <c r="V64" s="761"/>
      <c r="W64" s="761"/>
      <c r="X64" s="761"/>
      <c r="Y64" s="761"/>
      <c r="Z64" s="761"/>
      <c r="AA64" s="761"/>
      <c r="AB64" s="761"/>
      <c r="AC64" s="761"/>
      <c r="AD64" s="761"/>
      <c r="AE64" s="761"/>
      <c r="AF64" s="811" t="s">
        <v>112</v>
      </c>
      <c r="AG64" s="812"/>
      <c r="AH64" s="812"/>
      <c r="AI64" s="812"/>
      <c r="AJ64" s="1820"/>
      <c r="AK64" s="1997" t="str">
        <f>IF('Application Scoring Criteria'!AK34="","",'Application Scoring Criteria'!AK34)</f>
        <v/>
      </c>
      <c r="AL64" s="1998"/>
    </row>
    <row r="65" spans="1:47" s="29" customFormat="1" ht="30" customHeight="1">
      <c r="A65" s="760" t="s">
        <v>109</v>
      </c>
      <c r="B65" s="761"/>
      <c r="C65" s="1818"/>
      <c r="D65" s="1819" t="str">
        <f>'Application Scoring Criteria'!D35</f>
        <v>Operating Subsidy: (specify)</v>
      </c>
      <c r="E65" s="761"/>
      <c r="F65" s="761"/>
      <c r="G65" s="761"/>
      <c r="H65" s="761"/>
      <c r="I65" s="761"/>
      <c r="J65" s="761"/>
      <c r="K65" s="1818"/>
      <c r="L65" s="810" t="s">
        <v>2170</v>
      </c>
      <c r="M65" s="761"/>
      <c r="N65" s="761"/>
      <c r="O65" s="761"/>
      <c r="P65" s="761"/>
      <c r="Q65" s="761"/>
      <c r="R65" s="761"/>
      <c r="S65" s="761"/>
      <c r="T65" s="761"/>
      <c r="U65" s="761"/>
      <c r="V65" s="761"/>
      <c r="W65" s="761"/>
      <c r="X65" s="761"/>
      <c r="Y65" s="761"/>
      <c r="Z65" s="761"/>
      <c r="AA65" s="761"/>
      <c r="AB65" s="761"/>
      <c r="AC65" s="761"/>
      <c r="AD65" s="761"/>
      <c r="AE65" s="761"/>
      <c r="AF65" s="811" t="s">
        <v>112</v>
      </c>
      <c r="AG65" s="812"/>
      <c r="AH65" s="812"/>
      <c r="AI65" s="812"/>
      <c r="AJ65" s="1820"/>
      <c r="AK65" s="1997" t="str">
        <f>IF('Application Scoring Criteria'!AK35="","",'Application Scoring Criteria'!AK35)</f>
        <v/>
      </c>
      <c r="AL65" s="1998"/>
    </row>
    <row r="66" spans="1:47" s="29" customFormat="1" ht="30" customHeight="1">
      <c r="A66" s="2028" t="s">
        <v>109</v>
      </c>
      <c r="B66" s="2029"/>
      <c r="C66" s="2029"/>
      <c r="D66" s="1819" t="str">
        <f>'Application Scoring Criteria'!D36</f>
        <v>Operating Subsidy: (specify)</v>
      </c>
      <c r="E66" s="761"/>
      <c r="F66" s="761"/>
      <c r="G66" s="761"/>
      <c r="H66" s="761"/>
      <c r="I66" s="761"/>
      <c r="J66" s="761"/>
      <c r="K66" s="1818"/>
      <c r="L66" s="2029" t="s">
        <v>2170</v>
      </c>
      <c r="M66" s="2029"/>
      <c r="N66" s="2029"/>
      <c r="O66" s="2029"/>
      <c r="P66" s="2029"/>
      <c r="Q66" s="2029"/>
      <c r="R66" s="2029"/>
      <c r="S66" s="2029"/>
      <c r="T66" s="2029"/>
      <c r="U66" s="2029"/>
      <c r="V66" s="2029"/>
      <c r="W66" s="2029"/>
      <c r="X66" s="2029"/>
      <c r="Y66" s="2029"/>
      <c r="Z66" s="2029"/>
      <c r="AA66" s="2029"/>
      <c r="AB66" s="2029"/>
      <c r="AC66" s="2029"/>
      <c r="AD66" s="2029"/>
      <c r="AE66" s="2029"/>
      <c r="AF66" s="2030" t="s">
        <v>112</v>
      </c>
      <c r="AG66" s="2030"/>
      <c r="AH66" s="2030"/>
      <c r="AI66" s="2030"/>
      <c r="AJ66" s="2030"/>
      <c r="AK66" s="1997" t="str">
        <f>IF('Application Scoring Criteria'!AK36="","",'Application Scoring Criteria'!AK36)</f>
        <v/>
      </c>
      <c r="AL66" s="1998"/>
    </row>
    <row r="67" spans="1:47" s="29" customFormat="1" ht="15" customHeight="1">
      <c r="A67" s="2028" t="s">
        <v>152</v>
      </c>
      <c r="B67" s="2029"/>
      <c r="C67" s="2029"/>
      <c r="D67" s="2029" t="s">
        <v>2181</v>
      </c>
      <c r="E67" s="2029"/>
      <c r="F67" s="2029"/>
      <c r="G67" s="2029"/>
      <c r="H67" s="2029"/>
      <c r="I67" s="2029"/>
      <c r="J67" s="2029"/>
      <c r="K67" s="2029"/>
      <c r="L67" s="2029" t="s">
        <v>2182</v>
      </c>
      <c r="M67" s="2029"/>
      <c r="N67" s="2029"/>
      <c r="O67" s="2029"/>
      <c r="P67" s="2029"/>
      <c r="Q67" s="2029"/>
      <c r="R67" s="2029"/>
      <c r="S67" s="2029"/>
      <c r="T67" s="2029"/>
      <c r="U67" s="2029"/>
      <c r="V67" s="2029"/>
      <c r="W67" s="2029"/>
      <c r="X67" s="2029"/>
      <c r="Y67" s="2029"/>
      <c r="Z67" s="2029"/>
      <c r="AA67" s="2029"/>
      <c r="AB67" s="2029"/>
      <c r="AC67" s="2029"/>
      <c r="AD67" s="2029"/>
      <c r="AE67" s="2029" t="s">
        <v>217</v>
      </c>
      <c r="AF67" s="2030" t="s">
        <v>112</v>
      </c>
      <c r="AG67" s="2030"/>
      <c r="AH67" s="2030"/>
      <c r="AI67" s="2030"/>
      <c r="AJ67" s="2030"/>
      <c r="AK67" s="1997" t="str">
        <f>IF('Application Scoring Criteria'!AK66="","",'Application Scoring Criteria'!AK66)</f>
        <v/>
      </c>
      <c r="AL67" s="1998"/>
    </row>
    <row r="68" spans="1:47" s="29" customFormat="1" ht="15" customHeight="1">
      <c r="A68" s="2028" t="s">
        <v>152</v>
      </c>
      <c r="B68" s="2029"/>
      <c r="C68" s="2029"/>
      <c r="D68" s="2029" t="s">
        <v>2185</v>
      </c>
      <c r="E68" s="2029"/>
      <c r="F68" s="2029"/>
      <c r="G68" s="2029"/>
      <c r="H68" s="2029"/>
      <c r="I68" s="2029"/>
      <c r="J68" s="2029"/>
      <c r="K68" s="2029"/>
      <c r="L68" s="2029" t="s">
        <v>2186</v>
      </c>
      <c r="M68" s="2029"/>
      <c r="N68" s="2029"/>
      <c r="O68" s="2029"/>
      <c r="P68" s="2029"/>
      <c r="Q68" s="2029"/>
      <c r="R68" s="2029"/>
      <c r="S68" s="2029"/>
      <c r="T68" s="2029"/>
      <c r="U68" s="2029"/>
      <c r="V68" s="2029"/>
      <c r="W68" s="2029"/>
      <c r="X68" s="2029"/>
      <c r="Y68" s="2029"/>
      <c r="Z68" s="2029"/>
      <c r="AA68" s="2029"/>
      <c r="AB68" s="2029"/>
      <c r="AC68" s="2029"/>
      <c r="AD68" s="2029"/>
      <c r="AE68" s="2029" t="s">
        <v>217</v>
      </c>
      <c r="AF68" s="2030" t="s">
        <v>112</v>
      </c>
      <c r="AG68" s="2030"/>
      <c r="AH68" s="2030"/>
      <c r="AI68" s="2030"/>
      <c r="AJ68" s="2030"/>
      <c r="AK68" s="2011" t="str">
        <f>IF('Application Scoring Criteria'!AK69="","",'Application Scoring Criteria'!AK69)</f>
        <v/>
      </c>
      <c r="AL68" s="2012"/>
    </row>
    <row r="69" spans="1:47" s="29" customFormat="1" ht="75" customHeight="1">
      <c r="A69" s="760" t="s">
        <v>152</v>
      </c>
      <c r="B69" s="761"/>
      <c r="C69" s="1818"/>
      <c r="D69" s="810" t="s">
        <v>2188</v>
      </c>
      <c r="E69" s="761"/>
      <c r="F69" s="761"/>
      <c r="G69" s="761"/>
      <c r="H69" s="761"/>
      <c r="I69" s="761"/>
      <c r="J69" s="761"/>
      <c r="K69" s="1818"/>
      <c r="L69" s="810" t="s">
        <v>2189</v>
      </c>
      <c r="M69" s="761"/>
      <c r="N69" s="761"/>
      <c r="O69" s="761"/>
      <c r="P69" s="761"/>
      <c r="Q69" s="761"/>
      <c r="R69" s="761"/>
      <c r="S69" s="761"/>
      <c r="T69" s="761"/>
      <c r="U69" s="761"/>
      <c r="V69" s="761"/>
      <c r="W69" s="761"/>
      <c r="X69" s="761"/>
      <c r="Y69" s="761"/>
      <c r="Z69" s="761"/>
      <c r="AA69" s="761"/>
      <c r="AB69" s="761"/>
      <c r="AC69" s="761"/>
      <c r="AD69" s="761"/>
      <c r="AE69" s="1818" t="s">
        <v>217</v>
      </c>
      <c r="AF69" s="811" t="s">
        <v>112</v>
      </c>
      <c r="AG69" s="812"/>
      <c r="AH69" s="812"/>
      <c r="AI69" s="812"/>
      <c r="AJ69" s="1820"/>
      <c r="AK69" s="2011" t="str">
        <f>IF('Application Scoring Criteria'!AK71="","",'Application Scoring Criteria'!AK71)</f>
        <v/>
      </c>
      <c r="AL69" s="2012"/>
      <c r="AU69" s="404"/>
    </row>
    <row r="70" spans="1:47" s="24" customFormat="1" ht="15" customHeight="1" thickBot="1">
      <c r="A70" s="2031" t="s">
        <v>152</v>
      </c>
      <c r="B70" s="2032"/>
      <c r="C70" s="2032"/>
      <c r="D70" s="2033" t="s">
        <v>2217</v>
      </c>
      <c r="E70" s="2034"/>
      <c r="F70" s="2034"/>
      <c r="G70" s="2034"/>
      <c r="H70" s="2034"/>
      <c r="I70" s="2034"/>
      <c r="J70" s="2034"/>
      <c r="K70" s="2035"/>
      <c r="L70" s="2036" t="s">
        <v>2218</v>
      </c>
      <c r="M70" s="2037"/>
      <c r="N70" s="2037"/>
      <c r="O70" s="2037"/>
      <c r="P70" s="2037"/>
      <c r="Q70" s="2037"/>
      <c r="R70" s="2037"/>
      <c r="S70" s="2037"/>
      <c r="T70" s="2037"/>
      <c r="U70" s="2037"/>
      <c r="V70" s="2037"/>
      <c r="W70" s="2037"/>
      <c r="X70" s="2037"/>
      <c r="Y70" s="2037"/>
      <c r="Z70" s="2037"/>
      <c r="AA70" s="2037"/>
      <c r="AB70" s="2037"/>
      <c r="AC70" s="2037"/>
      <c r="AD70" s="2037"/>
      <c r="AE70" s="2038"/>
      <c r="AF70" s="2039" t="s">
        <v>112</v>
      </c>
      <c r="AG70" s="2040"/>
      <c r="AH70" s="2040"/>
      <c r="AI70" s="2040"/>
      <c r="AJ70" s="2041"/>
      <c r="AK70" s="2009" t="str">
        <f>IF('Application Scoring Criteria'!AK84="","",'Application Scoring Criteria'!AK84)</f>
        <v/>
      </c>
      <c r="AL70" s="2010"/>
      <c r="AM70" s="23"/>
    </row>
  </sheetData>
  <sheetProtection algorithmName="SHA-512" hashValue="H978PKxW58CFn/ro1r8FSNQCnZ4Ae/DULSWmXgni4qw//feLpT4doAgn5AfR0B1bEG5QBBOmuHldxL9erdvKXg==" saltValue="JT7SalAFAa/kzOsGtn6fKg==" spinCount="100000" sheet="1" objects="1" scenarios="1"/>
  <mergeCells count="319">
    <mergeCell ref="A44:C44"/>
    <mergeCell ref="D44:K44"/>
    <mergeCell ref="L44:AE44"/>
    <mergeCell ref="AF44:AJ44"/>
    <mergeCell ref="AK44:AL44"/>
    <mergeCell ref="AF32:AJ32"/>
    <mergeCell ref="AK32:AL32"/>
    <mergeCell ref="A2:AL2"/>
    <mergeCell ref="A40:C40"/>
    <mergeCell ref="D40:K40"/>
    <mergeCell ref="L40:AE40"/>
    <mergeCell ref="AF40:AJ40"/>
    <mergeCell ref="AK40:AL40"/>
    <mergeCell ref="A38:C38"/>
    <mergeCell ref="D38:K38"/>
    <mergeCell ref="L38:AE38"/>
    <mergeCell ref="AF38:AJ38"/>
    <mergeCell ref="AK38:AL38"/>
    <mergeCell ref="A30:AL30"/>
    <mergeCell ref="A36:C36"/>
    <mergeCell ref="D36:K36"/>
    <mergeCell ref="L36:AE36"/>
    <mergeCell ref="AF36:AJ36"/>
    <mergeCell ref="AK36:AL36"/>
    <mergeCell ref="AK39:AL39"/>
    <mergeCell ref="A37:C37"/>
    <mergeCell ref="D37:K37"/>
    <mergeCell ref="L37:AE37"/>
    <mergeCell ref="AF37:AJ37"/>
    <mergeCell ref="AK37:AL37"/>
    <mergeCell ref="A35:C35"/>
    <mergeCell ref="D35:K35"/>
    <mergeCell ref="L35:AE35"/>
    <mergeCell ref="AF35:AJ35"/>
    <mergeCell ref="AK35:AL35"/>
    <mergeCell ref="A25:C25"/>
    <mergeCell ref="AF25:AJ25"/>
    <mergeCell ref="AK25:AL25"/>
    <mergeCell ref="A26:C26"/>
    <mergeCell ref="AF26:AJ26"/>
    <mergeCell ref="AK26:AL26"/>
    <mergeCell ref="D25:K25"/>
    <mergeCell ref="D26:K26"/>
    <mergeCell ref="L25:AE25"/>
    <mergeCell ref="A69:C69"/>
    <mergeCell ref="D69:K69"/>
    <mergeCell ref="L69:AE69"/>
    <mergeCell ref="AF69:AJ69"/>
    <mergeCell ref="A70:C70"/>
    <mergeCell ref="D70:K70"/>
    <mergeCell ref="L70:AE70"/>
    <mergeCell ref="AF70:AJ70"/>
    <mergeCell ref="A67:C67"/>
    <mergeCell ref="D67:K67"/>
    <mergeCell ref="L67:AE67"/>
    <mergeCell ref="AF67:AJ67"/>
    <mergeCell ref="A68:C68"/>
    <mergeCell ref="D68:K68"/>
    <mergeCell ref="L68:AE68"/>
    <mergeCell ref="AF68:AJ68"/>
    <mergeCell ref="A65:C65"/>
    <mergeCell ref="D65:K65"/>
    <mergeCell ref="L65:AE65"/>
    <mergeCell ref="AF65:AJ65"/>
    <mergeCell ref="A66:C66"/>
    <mergeCell ref="D66:K66"/>
    <mergeCell ref="L66:AE66"/>
    <mergeCell ref="AF66:AJ66"/>
    <mergeCell ref="A63:C63"/>
    <mergeCell ref="D63:K63"/>
    <mergeCell ref="L63:AE63"/>
    <mergeCell ref="AF63:AJ63"/>
    <mergeCell ref="A64:C64"/>
    <mergeCell ref="D64:K64"/>
    <mergeCell ref="L64:AE64"/>
    <mergeCell ref="AF64:AJ64"/>
    <mergeCell ref="A60:AL60"/>
    <mergeCell ref="A61:C61"/>
    <mergeCell ref="D61:K61"/>
    <mergeCell ref="L61:AE61"/>
    <mergeCell ref="AF61:AJ61"/>
    <mergeCell ref="A62:AL62"/>
    <mergeCell ref="AF57:AJ57"/>
    <mergeCell ref="A58:C58"/>
    <mergeCell ref="D58:K58"/>
    <mergeCell ref="L58:AE58"/>
    <mergeCell ref="AF58:AJ58"/>
    <mergeCell ref="A59:C59"/>
    <mergeCell ref="D59:K59"/>
    <mergeCell ref="L59:AE59"/>
    <mergeCell ref="AF59:AJ59"/>
    <mergeCell ref="A53:C53"/>
    <mergeCell ref="D53:K53"/>
    <mergeCell ref="A55:C55"/>
    <mergeCell ref="D55:K55"/>
    <mergeCell ref="L55:AE55"/>
    <mergeCell ref="AF55:AJ55"/>
    <mergeCell ref="L53:AE53"/>
    <mergeCell ref="AF53:AJ53"/>
    <mergeCell ref="AK53:AL53"/>
    <mergeCell ref="A51:C51"/>
    <mergeCell ref="D51:K51"/>
    <mergeCell ref="L51:AD51"/>
    <mergeCell ref="AE51:AI51"/>
    <mergeCell ref="AJ51:AL51"/>
    <mergeCell ref="A52:C52"/>
    <mergeCell ref="D52:K52"/>
    <mergeCell ref="L52:AE52"/>
    <mergeCell ref="AF52:AJ52"/>
    <mergeCell ref="AK52:AL52"/>
    <mergeCell ref="A49:C49"/>
    <mergeCell ref="D49:K49"/>
    <mergeCell ref="L49:AE49"/>
    <mergeCell ref="AF49:AJ49"/>
    <mergeCell ref="AK49:AL49"/>
    <mergeCell ref="A50:C50"/>
    <mergeCell ref="D50:K50"/>
    <mergeCell ref="L50:AE50"/>
    <mergeCell ref="AF50:AJ50"/>
    <mergeCell ref="AK50:AL50"/>
    <mergeCell ref="A47:C47"/>
    <mergeCell ref="D47:K47"/>
    <mergeCell ref="L47:AE47"/>
    <mergeCell ref="AF47:AJ47"/>
    <mergeCell ref="AK47:AL47"/>
    <mergeCell ref="A48:C48"/>
    <mergeCell ref="D48:K48"/>
    <mergeCell ref="L48:AE48"/>
    <mergeCell ref="AF48:AJ48"/>
    <mergeCell ref="AK48:AL48"/>
    <mergeCell ref="A45:C45"/>
    <mergeCell ref="D45:K45"/>
    <mergeCell ref="L45:AE45"/>
    <mergeCell ref="AF45:AJ45"/>
    <mergeCell ref="AK45:AL45"/>
    <mergeCell ref="A46:C46"/>
    <mergeCell ref="D46:K46"/>
    <mergeCell ref="L46:AE46"/>
    <mergeCell ref="AF46:AJ46"/>
    <mergeCell ref="AK46:AL46"/>
    <mergeCell ref="A29:C29"/>
    <mergeCell ref="D29:K29"/>
    <mergeCell ref="L29:AE29"/>
    <mergeCell ref="AF29:AJ29"/>
    <mergeCell ref="AK29:AL29"/>
    <mergeCell ref="A43:C43"/>
    <mergeCell ref="D43:K43"/>
    <mergeCell ref="L43:AE43"/>
    <mergeCell ref="AF43:AJ43"/>
    <mergeCell ref="AK43:AL43"/>
    <mergeCell ref="A42:C42"/>
    <mergeCell ref="D42:K42"/>
    <mergeCell ref="L42:AE42"/>
    <mergeCell ref="AF42:AJ42"/>
    <mergeCell ref="AK42:AL42"/>
    <mergeCell ref="A41:C41"/>
    <mergeCell ref="D41:K41"/>
    <mergeCell ref="L41:AE41"/>
    <mergeCell ref="AF41:AJ41"/>
    <mergeCell ref="AK41:AL41"/>
    <mergeCell ref="A39:C39"/>
    <mergeCell ref="D39:K39"/>
    <mergeCell ref="L39:AE39"/>
    <mergeCell ref="AF39:AJ39"/>
    <mergeCell ref="A31:C31"/>
    <mergeCell ref="D31:K31"/>
    <mergeCell ref="L31:AE31"/>
    <mergeCell ref="AF31:AJ31"/>
    <mergeCell ref="AK31:AL31"/>
    <mergeCell ref="A32:C32"/>
    <mergeCell ref="D32:K32"/>
    <mergeCell ref="L32:AE32"/>
    <mergeCell ref="A24:C24"/>
    <mergeCell ref="D24:K24"/>
    <mergeCell ref="L24:AE24"/>
    <mergeCell ref="AF24:AJ24"/>
    <mergeCell ref="AK24:AL24"/>
    <mergeCell ref="A27:C27"/>
    <mergeCell ref="D27:K27"/>
    <mergeCell ref="L27:AE27"/>
    <mergeCell ref="AF27:AJ27"/>
    <mergeCell ref="AK27:AL27"/>
    <mergeCell ref="L26:AE26"/>
    <mergeCell ref="A28:C28"/>
    <mergeCell ref="D28:K28"/>
    <mergeCell ref="L28:AE28"/>
    <mergeCell ref="AF28:AJ28"/>
    <mergeCell ref="AK28:AL28"/>
    <mergeCell ref="A22:C22"/>
    <mergeCell ref="D22:K22"/>
    <mergeCell ref="L22:AE22"/>
    <mergeCell ref="AF22:AJ22"/>
    <mergeCell ref="AK22:AL22"/>
    <mergeCell ref="A23:C23"/>
    <mergeCell ref="D23:K23"/>
    <mergeCell ref="L23:AE23"/>
    <mergeCell ref="AF23:AJ23"/>
    <mergeCell ref="AK23:AL23"/>
    <mergeCell ref="A20:C20"/>
    <mergeCell ref="D20:K20"/>
    <mergeCell ref="L20:AE20"/>
    <mergeCell ref="AF20:AJ20"/>
    <mergeCell ref="AK20:AL20"/>
    <mergeCell ref="A21:C21"/>
    <mergeCell ref="D21:K21"/>
    <mergeCell ref="L21:AE21"/>
    <mergeCell ref="AF21:AJ21"/>
    <mergeCell ref="AK21:AL21"/>
    <mergeCell ref="A18:C18"/>
    <mergeCell ref="D18:K18"/>
    <mergeCell ref="L18:AE18"/>
    <mergeCell ref="AF18:AJ18"/>
    <mergeCell ref="AK18:AL18"/>
    <mergeCell ref="A19:C19"/>
    <mergeCell ref="D19:K19"/>
    <mergeCell ref="L19:AE19"/>
    <mergeCell ref="AF19:AJ19"/>
    <mergeCell ref="AK19:AL19"/>
    <mergeCell ref="A16:C16"/>
    <mergeCell ref="D16:K16"/>
    <mergeCell ref="L16:AE16"/>
    <mergeCell ref="AF16:AJ16"/>
    <mergeCell ref="AK16:AL16"/>
    <mergeCell ref="A17:C17"/>
    <mergeCell ref="D17:K17"/>
    <mergeCell ref="L17:AE17"/>
    <mergeCell ref="AF17:AJ17"/>
    <mergeCell ref="AK17:AL17"/>
    <mergeCell ref="A14:C14"/>
    <mergeCell ref="D14:K14"/>
    <mergeCell ref="L14:AE14"/>
    <mergeCell ref="AF14:AJ14"/>
    <mergeCell ref="AK14:AL14"/>
    <mergeCell ref="A15:C15"/>
    <mergeCell ref="D15:K15"/>
    <mergeCell ref="L15:AE15"/>
    <mergeCell ref="AF15:AJ15"/>
    <mergeCell ref="AK15:AL15"/>
    <mergeCell ref="A12:C12"/>
    <mergeCell ref="D12:K12"/>
    <mergeCell ref="L12:AE12"/>
    <mergeCell ref="AF12:AJ12"/>
    <mergeCell ref="AK12:AL12"/>
    <mergeCell ref="A13:C13"/>
    <mergeCell ref="D13:K13"/>
    <mergeCell ref="L13:AE13"/>
    <mergeCell ref="AF13:AJ13"/>
    <mergeCell ref="AK13:AL13"/>
    <mergeCell ref="L9:AE9"/>
    <mergeCell ref="AF9:AJ9"/>
    <mergeCell ref="AK9:AL9"/>
    <mergeCell ref="A10:C10"/>
    <mergeCell ref="D10:K10"/>
    <mergeCell ref="L10:AE10"/>
    <mergeCell ref="AF10:AJ10"/>
    <mergeCell ref="AK10:AL10"/>
    <mergeCell ref="A11:C11"/>
    <mergeCell ref="D11:K11"/>
    <mergeCell ref="L11:AE11"/>
    <mergeCell ref="AF11:AJ11"/>
    <mergeCell ref="AK11:AL11"/>
    <mergeCell ref="AK4:AL4"/>
    <mergeCell ref="A5:C5"/>
    <mergeCell ref="D5:K5"/>
    <mergeCell ref="L5:AE5"/>
    <mergeCell ref="AF5:AJ5"/>
    <mergeCell ref="AK5:AL5"/>
    <mergeCell ref="AK69:AL69"/>
    <mergeCell ref="A6:C6"/>
    <mergeCell ref="D6:K6"/>
    <mergeCell ref="L6:AE6"/>
    <mergeCell ref="AF6:AJ6"/>
    <mergeCell ref="AK6:AL6"/>
    <mergeCell ref="A7:C7"/>
    <mergeCell ref="D7:K7"/>
    <mergeCell ref="L7:AE7"/>
    <mergeCell ref="AF7:AJ7"/>
    <mergeCell ref="AK7:AL7"/>
    <mergeCell ref="A8:C8"/>
    <mergeCell ref="D8:K8"/>
    <mergeCell ref="L8:AE8"/>
    <mergeCell ref="AF8:AJ8"/>
    <mergeCell ref="AK8:AL8"/>
    <mergeCell ref="A9:C9"/>
    <mergeCell ref="D9:K9"/>
    <mergeCell ref="A1:AJ1"/>
    <mergeCell ref="AK1:AL1"/>
    <mergeCell ref="A3:AL3"/>
    <mergeCell ref="A4:C4"/>
    <mergeCell ref="D4:K4"/>
    <mergeCell ref="AK70:AL70"/>
    <mergeCell ref="AK67:AL67"/>
    <mergeCell ref="AK68:AL68"/>
    <mergeCell ref="AK65:AL65"/>
    <mergeCell ref="AK66:AL66"/>
    <mergeCell ref="AK63:AL63"/>
    <mergeCell ref="AK64:AL64"/>
    <mergeCell ref="AK61:AL61"/>
    <mergeCell ref="A54:AL54"/>
    <mergeCell ref="A56:AL56"/>
    <mergeCell ref="A57:C57"/>
    <mergeCell ref="D57:K57"/>
    <mergeCell ref="L57:AE57"/>
    <mergeCell ref="AK59:AL59"/>
    <mergeCell ref="AK57:AL57"/>
    <mergeCell ref="AK58:AL58"/>
    <mergeCell ref="AK55:AL55"/>
    <mergeCell ref="L4:AE4"/>
    <mergeCell ref="AF4:AJ4"/>
    <mergeCell ref="A33:C33"/>
    <mergeCell ref="D33:K33"/>
    <mergeCell ref="L33:AE33"/>
    <mergeCell ref="AF33:AJ33"/>
    <mergeCell ref="AK33:AL33"/>
    <mergeCell ref="A34:C34"/>
    <mergeCell ref="D34:K34"/>
    <mergeCell ref="L34:AE34"/>
    <mergeCell ref="AF34:AJ34"/>
    <mergeCell ref="AK34:AL34"/>
  </mergeCells>
  <conditionalFormatting sqref="AK4:AK15">
    <cfRule type="cellIs" dxfId="6" priority="62" operator="equal">
      <formula>"No"</formula>
    </cfRule>
  </conditionalFormatting>
  <conditionalFormatting sqref="AK70">
    <cfRule type="cellIs" dxfId="5" priority="23" operator="equal">
      <formula>"No"</formula>
    </cfRule>
  </conditionalFormatting>
  <conditionalFormatting sqref="AK16:AK29">
    <cfRule type="cellIs" dxfId="4" priority="10" operator="equal">
      <formula>"No"</formula>
    </cfRule>
  </conditionalFormatting>
  <conditionalFormatting sqref="AK31:AK50">
    <cfRule type="cellIs" dxfId="3" priority="9" operator="equal">
      <formula>"No"</formula>
    </cfRule>
  </conditionalFormatting>
  <conditionalFormatting sqref="AK55">
    <cfRule type="cellIs" dxfId="2" priority="5" operator="equal">
      <formula>"No"</formula>
    </cfRule>
  </conditionalFormatting>
  <conditionalFormatting sqref="AK52">
    <cfRule type="cellIs" dxfId="1" priority="3" operator="equal">
      <formula>"No"</formula>
    </cfRule>
  </conditionalFormatting>
  <conditionalFormatting sqref="AK63:AK66">
    <cfRule type="cellIs" dxfId="0" priority="1" operator="equal">
      <formula>"No"</formula>
    </cfRule>
  </conditionalFormatting>
  <printOptions horizontalCentered="1"/>
  <pageMargins left="0.25" right="0.25" top="0.5" bottom="0.3" header="0" footer="0"/>
  <pageSetup scale="48" orientation="portrait" r:id="rId1"/>
  <headerFooter scaleWithDoc="0" alignWithMargins="0">
    <oddFooter>&amp;L&amp;9Homekey Round 2&amp;C&amp;9Page &amp;P of &amp;N&amp;R&amp;"Arial,Italic"&amp;9&amp;A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249977111117893"/>
    <pageSetUpPr fitToPage="1"/>
  </sheetPr>
  <dimension ref="A1:AP147"/>
  <sheetViews>
    <sheetView showGridLines="0" zoomScaleNormal="100" zoomScaleSheetLayoutView="100" workbookViewId="0">
      <selection activeCell="AK3" sqref="AK3:AL3"/>
    </sheetView>
  </sheetViews>
  <sheetFormatPr defaultColWidth="9.1796875" defaultRowHeight="14"/>
  <cols>
    <col min="1" max="38" width="4.1796875" style="27" customWidth="1"/>
    <col min="39" max="41" width="0" style="2" hidden="1" customWidth="1"/>
    <col min="42" max="16384" width="9.1796875" style="2"/>
  </cols>
  <sheetData>
    <row r="1" spans="1:42" ht="18" customHeight="1" thickBot="1">
      <c r="A1" s="702" t="s">
        <v>15</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4"/>
      <c r="AJ1" s="705">
        <f>CoverPage!B11</f>
        <v>44471</v>
      </c>
      <c r="AK1" s="706"/>
      <c r="AL1" s="707"/>
    </row>
    <row r="2" spans="1:42" ht="18" customHeight="1">
      <c r="A2" s="716" t="s">
        <v>16</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8"/>
    </row>
    <row r="3" spans="1:42" customFormat="1" ht="18" customHeight="1">
      <c r="A3" s="742" t="s">
        <v>17</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14"/>
      <c r="AL3" s="715"/>
    </row>
    <row r="4" spans="1:42" ht="18" customHeight="1">
      <c r="A4" s="660" t="s">
        <v>18</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750"/>
    </row>
    <row r="5" spans="1:42" customFormat="1" ht="30" customHeight="1">
      <c r="A5" s="892" t="s">
        <v>19</v>
      </c>
      <c r="B5" s="893"/>
      <c r="C5" s="893"/>
      <c r="D5" s="893"/>
      <c r="E5" s="893"/>
      <c r="F5" s="893"/>
      <c r="G5" s="893"/>
      <c r="H5" s="893"/>
      <c r="I5" s="893"/>
      <c r="J5" s="893"/>
      <c r="K5" s="893"/>
      <c r="L5" s="893"/>
      <c r="M5" s="893"/>
      <c r="N5" s="893"/>
      <c r="O5" s="893"/>
      <c r="P5" s="893"/>
      <c r="Q5" s="893"/>
      <c r="R5" s="893"/>
      <c r="S5" s="893"/>
      <c r="T5" s="893"/>
      <c r="U5" s="893"/>
      <c r="V5" s="893"/>
      <c r="W5" s="893"/>
      <c r="X5" s="893"/>
      <c r="Y5" s="893"/>
      <c r="Z5" s="893"/>
      <c r="AA5" s="893"/>
      <c r="AB5" s="893"/>
      <c r="AC5" s="893"/>
      <c r="AD5" s="893"/>
      <c r="AE5" s="893"/>
      <c r="AF5" s="893"/>
      <c r="AG5" s="893"/>
      <c r="AH5" s="893"/>
      <c r="AI5" s="893"/>
      <c r="AJ5" s="893"/>
      <c r="AK5" s="893"/>
      <c r="AL5" s="894"/>
    </row>
    <row r="6" spans="1:42" customFormat="1" ht="30" customHeight="1">
      <c r="A6" s="899" t="s">
        <v>20</v>
      </c>
      <c r="B6" s="900"/>
      <c r="C6" s="900"/>
      <c r="D6" s="900"/>
      <c r="E6" s="900"/>
      <c r="F6" s="900"/>
      <c r="G6" s="900"/>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1"/>
    </row>
    <row r="7" spans="1:42" customFormat="1" ht="30" customHeight="1">
      <c r="A7" s="760" t="s">
        <v>21</v>
      </c>
      <c r="B7" s="761"/>
      <c r="C7" s="761"/>
      <c r="D7" s="761"/>
      <c r="E7" s="761"/>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895"/>
    </row>
    <row r="8" spans="1:42" customFormat="1" ht="15" customHeight="1">
      <c r="A8" s="733" t="s">
        <v>22</v>
      </c>
      <c r="B8" s="734"/>
      <c r="C8" s="734"/>
      <c r="D8" s="734"/>
      <c r="E8" s="734"/>
      <c r="F8" s="734"/>
      <c r="G8" s="734"/>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5"/>
    </row>
    <row r="9" spans="1:42" customFormat="1" ht="15" customHeight="1">
      <c r="A9" s="896" t="s">
        <v>23</v>
      </c>
      <c r="B9" s="897"/>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8"/>
    </row>
    <row r="10" spans="1:42" customFormat="1" ht="15" customHeight="1">
      <c r="A10" s="654" t="s">
        <v>24</v>
      </c>
      <c r="B10" s="655"/>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6"/>
    </row>
    <row r="11" spans="1:42" s="13" customFormat="1" ht="18" customHeight="1">
      <c r="A11" s="752" t="s">
        <v>25</v>
      </c>
      <c r="B11" s="753"/>
      <c r="C11" s="753"/>
      <c r="D11" s="753"/>
      <c r="E11" s="753"/>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4"/>
      <c r="AM11" s="12"/>
      <c r="AN11" s="12"/>
      <c r="AO11" s="12"/>
      <c r="AP11" s="12"/>
    </row>
    <row r="12" spans="1:42" s="13" customFormat="1" ht="18" customHeight="1">
      <c r="A12" s="755" t="s">
        <v>26</v>
      </c>
      <c r="B12" s="758"/>
      <c r="C12" s="758"/>
      <c r="D12" s="758"/>
      <c r="E12" s="758"/>
      <c r="F12" s="758"/>
      <c r="G12" s="758"/>
      <c r="H12" s="758"/>
      <c r="I12" s="758"/>
      <c r="J12" s="758"/>
      <c r="K12" s="758"/>
      <c r="L12" s="758"/>
      <c r="M12" s="758"/>
      <c r="N12" s="758"/>
      <c r="O12" s="758"/>
      <c r="P12" s="758"/>
      <c r="Q12" s="758"/>
      <c r="R12" s="758"/>
      <c r="S12" s="758"/>
      <c r="T12" s="758"/>
      <c r="U12" s="758"/>
      <c r="V12" s="758"/>
      <c r="W12" s="758"/>
      <c r="X12" s="758"/>
      <c r="Y12" s="758"/>
      <c r="Z12" s="758"/>
      <c r="AA12" s="758"/>
      <c r="AB12" s="758"/>
      <c r="AC12" s="758"/>
      <c r="AD12" s="758"/>
      <c r="AE12" s="758"/>
      <c r="AF12" s="758"/>
      <c r="AG12" s="758"/>
      <c r="AH12" s="758"/>
      <c r="AI12" s="758"/>
      <c r="AJ12" s="758"/>
      <c r="AK12" s="758"/>
      <c r="AL12" s="759"/>
      <c r="AM12" s="12"/>
      <c r="AN12" s="12"/>
      <c r="AO12" s="12"/>
      <c r="AP12" s="12"/>
    </row>
    <row r="13" spans="1:42" s="13" customFormat="1" ht="18" customHeight="1" thickBot="1">
      <c r="A13" s="755" t="s">
        <v>27</v>
      </c>
      <c r="B13" s="756"/>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7"/>
      <c r="AM13" s="12"/>
      <c r="AN13" s="12"/>
      <c r="AO13" s="12"/>
      <c r="AP13" s="12"/>
    </row>
    <row r="14" spans="1:42" ht="18" customHeight="1">
      <c r="A14" s="730" t="s">
        <v>28</v>
      </c>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1"/>
      <c r="Z14" s="731"/>
      <c r="AA14" s="731"/>
      <c r="AB14" s="731"/>
      <c r="AC14" s="731"/>
      <c r="AD14" s="731"/>
      <c r="AE14" s="731"/>
      <c r="AF14" s="731"/>
      <c r="AG14" s="731"/>
      <c r="AH14" s="731"/>
      <c r="AI14" s="731"/>
      <c r="AJ14" s="731"/>
      <c r="AK14" s="731"/>
      <c r="AL14" s="732"/>
    </row>
    <row r="15" spans="1:42" ht="15" customHeight="1">
      <c r="A15" s="657" t="s">
        <v>29</v>
      </c>
      <c r="B15" s="658"/>
      <c r="C15" s="658"/>
      <c r="D15" s="658"/>
      <c r="E15" s="658"/>
      <c r="F15" s="658"/>
      <c r="G15" s="658"/>
      <c r="H15" s="658"/>
      <c r="I15" s="658"/>
      <c r="J15" s="658"/>
      <c r="K15" s="658"/>
      <c r="L15" s="658"/>
      <c r="M15" s="659"/>
      <c r="N15" s="660" t="s">
        <v>30</v>
      </c>
      <c r="O15" s="661"/>
      <c r="P15" s="661"/>
      <c r="Q15" s="661"/>
      <c r="R15" s="661"/>
      <c r="S15" s="661"/>
      <c r="T15" s="661"/>
      <c r="U15" s="661"/>
      <c r="V15" s="661"/>
      <c r="W15" s="661"/>
      <c r="X15" s="661"/>
      <c r="Y15" s="661"/>
      <c r="Z15" s="661"/>
      <c r="AA15" s="672" t="s">
        <v>31</v>
      </c>
      <c r="AB15" s="673"/>
      <c r="AC15" s="673"/>
      <c r="AD15" s="673"/>
      <c r="AE15" s="673"/>
      <c r="AF15" s="673"/>
      <c r="AG15" s="673"/>
      <c r="AH15" s="673"/>
      <c r="AI15" s="673"/>
      <c r="AJ15" s="673"/>
      <c r="AK15" s="673"/>
      <c r="AL15" s="674"/>
    </row>
    <row r="16" spans="1:42">
      <c r="A16" s="633" t="s">
        <v>32</v>
      </c>
      <c r="B16" s="634"/>
      <c r="C16" s="634"/>
      <c r="D16" s="634"/>
      <c r="E16" s="634"/>
      <c r="F16" s="634"/>
      <c r="G16" s="634"/>
      <c r="H16" s="634"/>
      <c r="I16" s="662"/>
      <c r="J16" s="663">
        <f>'Award, Match, and Revenue'!N32</f>
        <v>0</v>
      </c>
      <c r="K16" s="664"/>
      <c r="L16" s="664"/>
      <c r="M16" s="670"/>
      <c r="N16" s="633" t="s">
        <v>32</v>
      </c>
      <c r="O16" s="634"/>
      <c r="P16" s="634"/>
      <c r="Q16" s="634"/>
      <c r="R16" s="634"/>
      <c r="S16" s="634"/>
      <c r="T16" s="634"/>
      <c r="U16" s="634"/>
      <c r="V16" s="662"/>
      <c r="W16" s="663">
        <f>'Award, Match, and Revenue'!O32</f>
        <v>0</v>
      </c>
      <c r="X16" s="664"/>
      <c r="Y16" s="664"/>
      <c r="Z16" s="664"/>
      <c r="AA16" s="675" t="s">
        <v>32</v>
      </c>
      <c r="AB16" s="676"/>
      <c r="AC16" s="676"/>
      <c r="AD16" s="676"/>
      <c r="AE16" s="676"/>
      <c r="AF16" s="676"/>
      <c r="AG16" s="676"/>
      <c r="AH16" s="676"/>
      <c r="AI16" s="681">
        <f>'Award, Match, and Revenue'!P32</f>
        <v>0</v>
      </c>
      <c r="AJ16" s="681"/>
      <c r="AK16" s="681"/>
      <c r="AL16" s="682"/>
    </row>
    <row r="17" spans="1:39">
      <c r="A17" s="633" t="s">
        <v>33</v>
      </c>
      <c r="B17" s="634"/>
      <c r="C17" s="634"/>
      <c r="D17" s="634"/>
      <c r="E17" s="634"/>
      <c r="F17" s="634"/>
      <c r="G17" s="634"/>
      <c r="H17" s="634"/>
      <c r="I17" s="662"/>
      <c r="J17" s="663">
        <f>'Award, Match, and Revenue'!N33</f>
        <v>0</v>
      </c>
      <c r="K17" s="664"/>
      <c r="L17" s="664"/>
      <c r="M17" s="670"/>
      <c r="N17" s="633" t="s">
        <v>33</v>
      </c>
      <c r="O17" s="634"/>
      <c r="P17" s="634"/>
      <c r="Q17" s="634"/>
      <c r="R17" s="634"/>
      <c r="S17" s="634"/>
      <c r="T17" s="634"/>
      <c r="U17" s="634"/>
      <c r="V17" s="662"/>
      <c r="W17" s="663">
        <f>'Award, Match, and Revenue'!O33</f>
        <v>0</v>
      </c>
      <c r="X17" s="664"/>
      <c r="Y17" s="664"/>
      <c r="Z17" s="664"/>
      <c r="AA17" s="675" t="s">
        <v>33</v>
      </c>
      <c r="AB17" s="676"/>
      <c r="AC17" s="676"/>
      <c r="AD17" s="676"/>
      <c r="AE17" s="676"/>
      <c r="AF17" s="676"/>
      <c r="AG17" s="676"/>
      <c r="AH17" s="676"/>
      <c r="AI17" s="681">
        <f>'Award, Match, and Revenue'!P33</f>
        <v>0</v>
      </c>
      <c r="AJ17" s="681"/>
      <c r="AK17" s="681"/>
      <c r="AL17" s="682"/>
    </row>
    <row r="18" spans="1:39" ht="15" customHeight="1">
      <c r="A18" s="667" t="s">
        <v>34</v>
      </c>
      <c r="B18" s="668"/>
      <c r="C18" s="668"/>
      <c r="D18" s="668"/>
      <c r="E18" s="668"/>
      <c r="F18" s="668"/>
      <c r="G18" s="668"/>
      <c r="H18" s="668"/>
      <c r="I18" s="669"/>
      <c r="J18" s="665">
        <f>SUM(J16:M17)</f>
        <v>0</v>
      </c>
      <c r="K18" s="666"/>
      <c r="L18" s="666"/>
      <c r="M18" s="671"/>
      <c r="N18" s="667" t="s">
        <v>35</v>
      </c>
      <c r="O18" s="668"/>
      <c r="P18" s="668"/>
      <c r="Q18" s="668"/>
      <c r="R18" s="668"/>
      <c r="S18" s="668"/>
      <c r="T18" s="668"/>
      <c r="U18" s="668"/>
      <c r="V18" s="669"/>
      <c r="W18" s="665">
        <f>SUM(W16:Z17)</f>
        <v>0</v>
      </c>
      <c r="X18" s="666"/>
      <c r="Y18" s="666"/>
      <c r="Z18" s="666"/>
      <c r="AA18" s="677" t="s">
        <v>36</v>
      </c>
      <c r="AB18" s="678"/>
      <c r="AC18" s="678"/>
      <c r="AD18" s="678"/>
      <c r="AE18" s="678"/>
      <c r="AF18" s="678"/>
      <c r="AG18" s="678"/>
      <c r="AH18" s="678"/>
      <c r="AI18" s="683">
        <f>SUM(AI16:AL17)</f>
        <v>0</v>
      </c>
      <c r="AJ18" s="683"/>
      <c r="AK18" s="683"/>
      <c r="AL18" s="684"/>
    </row>
    <row r="19" spans="1:39">
      <c r="A19" s="633" t="s">
        <v>37</v>
      </c>
      <c r="B19" s="634"/>
      <c r="C19" s="634"/>
      <c r="D19" s="634"/>
      <c r="E19" s="634"/>
      <c r="F19" s="634"/>
      <c r="G19" s="634"/>
      <c r="H19" s="634"/>
      <c r="I19" s="662"/>
      <c r="J19" s="663">
        <f>'Award, Match, and Revenue'!N48</f>
        <v>0</v>
      </c>
      <c r="K19" s="664"/>
      <c r="L19" s="664"/>
      <c r="M19" s="670"/>
      <c r="N19" s="633" t="s">
        <v>37</v>
      </c>
      <c r="O19" s="634"/>
      <c r="P19" s="634"/>
      <c r="Q19" s="634"/>
      <c r="R19" s="634"/>
      <c r="S19" s="634"/>
      <c r="T19" s="634"/>
      <c r="U19" s="634"/>
      <c r="V19" s="662"/>
      <c r="W19" s="663">
        <f>'Award, Match, and Revenue'!O48</f>
        <v>0</v>
      </c>
      <c r="X19" s="664"/>
      <c r="Y19" s="664"/>
      <c r="Z19" s="664"/>
      <c r="AA19" s="675" t="s">
        <v>37</v>
      </c>
      <c r="AB19" s="676"/>
      <c r="AC19" s="676"/>
      <c r="AD19" s="676"/>
      <c r="AE19" s="676"/>
      <c r="AF19" s="676"/>
      <c r="AG19" s="676"/>
      <c r="AH19" s="676"/>
      <c r="AI19" s="681">
        <f>'Award, Match, and Revenue'!P48</f>
        <v>0</v>
      </c>
      <c r="AJ19" s="681"/>
      <c r="AK19" s="681"/>
      <c r="AL19" s="682"/>
    </row>
    <row r="20" spans="1:39">
      <c r="A20" s="633" t="s">
        <v>38</v>
      </c>
      <c r="B20" s="634"/>
      <c r="C20" s="634"/>
      <c r="D20" s="634"/>
      <c r="E20" s="634"/>
      <c r="F20" s="634"/>
      <c r="G20" s="634"/>
      <c r="H20" s="634"/>
      <c r="I20" s="662"/>
      <c r="J20" s="663">
        <f>'Award, Match, and Revenue'!N49</f>
        <v>0</v>
      </c>
      <c r="K20" s="664"/>
      <c r="L20" s="664"/>
      <c r="M20" s="670"/>
      <c r="N20" s="633" t="s">
        <v>38</v>
      </c>
      <c r="O20" s="634"/>
      <c r="P20" s="634"/>
      <c r="Q20" s="634"/>
      <c r="R20" s="634"/>
      <c r="S20" s="634"/>
      <c r="T20" s="634"/>
      <c r="U20" s="634"/>
      <c r="V20" s="662"/>
      <c r="W20" s="663">
        <f>'Award, Match, and Revenue'!O49</f>
        <v>0</v>
      </c>
      <c r="X20" s="664"/>
      <c r="Y20" s="664"/>
      <c r="Z20" s="664"/>
      <c r="AA20" s="675" t="s">
        <v>38</v>
      </c>
      <c r="AB20" s="676"/>
      <c r="AC20" s="676"/>
      <c r="AD20" s="676"/>
      <c r="AE20" s="676"/>
      <c r="AF20" s="676"/>
      <c r="AG20" s="676"/>
      <c r="AH20" s="676"/>
      <c r="AI20" s="681">
        <f>'Award, Match, and Revenue'!P49</f>
        <v>0</v>
      </c>
      <c r="AJ20" s="681"/>
      <c r="AK20" s="681"/>
      <c r="AL20" s="682"/>
    </row>
    <row r="21" spans="1:39">
      <c r="A21" s="633" t="s">
        <v>39</v>
      </c>
      <c r="B21" s="634"/>
      <c r="C21" s="634"/>
      <c r="D21" s="634"/>
      <c r="E21" s="634"/>
      <c r="F21" s="634"/>
      <c r="G21" s="634"/>
      <c r="H21" s="634"/>
      <c r="I21" s="662"/>
      <c r="J21" s="663">
        <f>'Award, Match, and Revenue'!N50</f>
        <v>0</v>
      </c>
      <c r="K21" s="664"/>
      <c r="L21" s="664"/>
      <c r="M21" s="670"/>
      <c r="N21" s="633" t="s">
        <v>39</v>
      </c>
      <c r="O21" s="634"/>
      <c r="P21" s="634"/>
      <c r="Q21" s="634"/>
      <c r="R21" s="634"/>
      <c r="S21" s="634"/>
      <c r="T21" s="634"/>
      <c r="U21" s="634"/>
      <c r="V21" s="662"/>
      <c r="W21" s="663">
        <f>'Award, Match, and Revenue'!O50</f>
        <v>0</v>
      </c>
      <c r="X21" s="664"/>
      <c r="Y21" s="664"/>
      <c r="Z21" s="664"/>
      <c r="AA21" s="675" t="s">
        <v>39</v>
      </c>
      <c r="AB21" s="676"/>
      <c r="AC21" s="676"/>
      <c r="AD21" s="676"/>
      <c r="AE21" s="676"/>
      <c r="AF21" s="676"/>
      <c r="AG21" s="676"/>
      <c r="AH21" s="676"/>
      <c r="AI21" s="681">
        <f>'Award, Match, and Revenue'!P50</f>
        <v>0</v>
      </c>
      <c r="AJ21" s="681"/>
      <c r="AK21" s="681"/>
      <c r="AL21" s="682"/>
    </row>
    <row r="22" spans="1:39">
      <c r="A22" s="633" t="s">
        <v>40</v>
      </c>
      <c r="B22" s="634"/>
      <c r="C22" s="634"/>
      <c r="D22" s="634"/>
      <c r="E22" s="634"/>
      <c r="F22" s="634"/>
      <c r="G22" s="634"/>
      <c r="H22" s="634"/>
      <c r="I22" s="662"/>
      <c r="J22" s="663">
        <f>'Award, Match, and Revenue'!N51</f>
        <v>0</v>
      </c>
      <c r="K22" s="664"/>
      <c r="L22" s="664"/>
      <c r="M22" s="670"/>
      <c r="N22" s="633" t="s">
        <v>40</v>
      </c>
      <c r="O22" s="634"/>
      <c r="P22" s="634"/>
      <c r="Q22" s="634"/>
      <c r="R22" s="634"/>
      <c r="S22" s="634"/>
      <c r="T22" s="634"/>
      <c r="U22" s="634"/>
      <c r="V22" s="662"/>
      <c r="W22" s="663">
        <f>'Award, Match, and Revenue'!O51</f>
        <v>0</v>
      </c>
      <c r="X22" s="664"/>
      <c r="Y22" s="664"/>
      <c r="Z22" s="664"/>
      <c r="AA22" s="675" t="s">
        <v>41</v>
      </c>
      <c r="AB22" s="676"/>
      <c r="AC22" s="676"/>
      <c r="AD22" s="676"/>
      <c r="AE22" s="676"/>
      <c r="AF22" s="676"/>
      <c r="AG22" s="676"/>
      <c r="AH22" s="676"/>
      <c r="AI22" s="681">
        <f>'Award, Match, and Revenue'!P51</f>
        <v>0</v>
      </c>
      <c r="AJ22" s="681"/>
      <c r="AK22" s="681"/>
      <c r="AL22" s="682"/>
    </row>
    <row r="23" spans="1:39" ht="15" customHeight="1" thickBot="1">
      <c r="A23" s="688" t="s">
        <v>42</v>
      </c>
      <c r="B23" s="689"/>
      <c r="C23" s="689"/>
      <c r="D23" s="689"/>
      <c r="E23" s="689"/>
      <c r="F23" s="689"/>
      <c r="G23" s="689"/>
      <c r="H23" s="689"/>
      <c r="I23" s="690"/>
      <c r="J23" s="691">
        <f>SUM(J18:M22)</f>
        <v>0</v>
      </c>
      <c r="K23" s="692"/>
      <c r="L23" s="692"/>
      <c r="M23" s="736"/>
      <c r="N23" s="688" t="s">
        <v>43</v>
      </c>
      <c r="O23" s="689"/>
      <c r="P23" s="689"/>
      <c r="Q23" s="689"/>
      <c r="R23" s="689"/>
      <c r="S23" s="689"/>
      <c r="T23" s="689"/>
      <c r="U23" s="689"/>
      <c r="V23" s="690"/>
      <c r="W23" s="691">
        <f>SUM(W18:Z22)</f>
        <v>0</v>
      </c>
      <c r="X23" s="692"/>
      <c r="Y23" s="692"/>
      <c r="Z23" s="692"/>
      <c r="AA23" s="679" t="s">
        <v>44</v>
      </c>
      <c r="AB23" s="680"/>
      <c r="AC23" s="680"/>
      <c r="AD23" s="680"/>
      <c r="AE23" s="680"/>
      <c r="AF23" s="680"/>
      <c r="AG23" s="680"/>
      <c r="AH23" s="680"/>
      <c r="AI23" s="685">
        <f>SUM(AI18:AL22)</f>
        <v>0</v>
      </c>
      <c r="AJ23" s="685"/>
      <c r="AK23" s="685"/>
      <c r="AL23" s="686"/>
    </row>
    <row r="24" spans="1:39" ht="15" customHeight="1">
      <c r="A24" s="693" t="s">
        <v>45</v>
      </c>
      <c r="B24" s="694"/>
      <c r="C24" s="694"/>
      <c r="D24" s="694"/>
      <c r="E24" s="694"/>
      <c r="F24" s="694"/>
      <c r="G24" s="694"/>
      <c r="H24" s="695"/>
      <c r="I24" s="687">
        <f>'Award, Match, and Revenue'!B25</f>
        <v>0</v>
      </c>
      <c r="J24" s="687"/>
      <c r="K24" s="687"/>
      <c r="L24" s="696" t="s">
        <v>46</v>
      </c>
      <c r="M24" s="697"/>
      <c r="N24" s="697"/>
      <c r="O24" s="697"/>
      <c r="P24" s="697"/>
      <c r="Q24" s="697"/>
      <c r="R24" s="697"/>
      <c r="S24" s="697"/>
      <c r="T24" s="697"/>
      <c r="U24" s="698"/>
      <c r="V24" s="687">
        <f>'Award, Match, and Revenue'!E25</f>
        <v>0</v>
      </c>
      <c r="W24" s="687"/>
      <c r="X24" s="687"/>
      <c r="Y24" s="699"/>
      <c r="Z24" s="700"/>
      <c r="AA24" s="700"/>
      <c r="AB24" s="700"/>
      <c r="AC24" s="700"/>
      <c r="AD24" s="700"/>
      <c r="AE24" s="700"/>
      <c r="AF24" s="700"/>
      <c r="AG24" s="700"/>
      <c r="AH24" s="700"/>
      <c r="AI24" s="700"/>
      <c r="AJ24" s="700"/>
      <c r="AK24" s="700"/>
      <c r="AL24" s="701"/>
    </row>
    <row r="25" spans="1:39" ht="15" customHeight="1">
      <c r="A25" s="642" t="s">
        <v>47</v>
      </c>
      <c r="B25" s="643"/>
      <c r="C25" s="643"/>
      <c r="D25" s="643"/>
      <c r="E25" s="643"/>
      <c r="F25" s="643"/>
      <c r="G25" s="643"/>
      <c r="H25" s="643"/>
      <c r="I25" s="643"/>
      <c r="J25" s="643"/>
      <c r="K25" s="645">
        <f>'Award, Match, and Revenue'!Q25</f>
        <v>0</v>
      </c>
      <c r="L25" s="645"/>
      <c r="M25" s="644" t="s">
        <v>48</v>
      </c>
      <c r="N25" s="644"/>
      <c r="O25" s="644"/>
      <c r="P25" s="644"/>
      <c r="Q25" s="644"/>
      <c r="R25" s="644"/>
      <c r="S25" s="644"/>
      <c r="T25" s="644"/>
      <c r="U25" s="644"/>
      <c r="V25" s="644"/>
      <c r="W25" s="645">
        <f>'Award, Match, and Revenue'!R25</f>
        <v>0</v>
      </c>
      <c r="X25" s="645"/>
      <c r="Y25" s="646" t="s">
        <v>49</v>
      </c>
      <c r="Z25" s="646"/>
      <c r="AA25" s="646"/>
      <c r="AB25" s="646"/>
      <c r="AC25" s="646"/>
      <c r="AD25" s="646"/>
      <c r="AE25" s="646"/>
      <c r="AF25" s="645">
        <f>'Award, Match, and Revenue'!S25</f>
        <v>0</v>
      </c>
      <c r="AG25" s="645"/>
      <c r="AH25" s="647"/>
      <c r="AI25" s="647"/>
      <c r="AJ25" s="647"/>
      <c r="AK25" s="647"/>
      <c r="AL25" s="648"/>
    </row>
    <row r="26" spans="1:39" ht="15" customHeight="1">
      <c r="A26" s="642" t="s">
        <v>50</v>
      </c>
      <c r="B26" s="643"/>
      <c r="C26" s="643"/>
      <c r="D26" s="643"/>
      <c r="E26" s="643"/>
      <c r="F26" s="643"/>
      <c r="G26" s="643"/>
      <c r="H26" s="643"/>
      <c r="I26" s="643"/>
      <c r="J26" s="643"/>
      <c r="K26" s="643"/>
      <c r="L26" s="643"/>
      <c r="M26" s="643"/>
      <c r="N26" s="643"/>
      <c r="O26" s="643"/>
      <c r="P26" s="643"/>
      <c r="Q26" s="645">
        <f>'Award, Match, and Revenue'!T25</f>
        <v>0</v>
      </c>
      <c r="R26" s="645"/>
      <c r="S26" s="646" t="s">
        <v>51</v>
      </c>
      <c r="T26" s="646"/>
      <c r="U26" s="646"/>
      <c r="V26" s="646"/>
      <c r="W26" s="646"/>
      <c r="X26" s="646"/>
      <c r="Y26" s="646"/>
      <c r="Z26" s="638">
        <f>'Award, Match, and Revenue'!U25</f>
        <v>0</v>
      </c>
      <c r="AA26" s="638"/>
      <c r="AB26" s="639"/>
      <c r="AC26" s="640"/>
      <c r="AD26" s="640"/>
      <c r="AE26" s="640"/>
      <c r="AF26" s="640"/>
      <c r="AG26" s="640"/>
      <c r="AH26" s="640"/>
      <c r="AI26" s="640"/>
      <c r="AJ26" s="640"/>
      <c r="AK26" s="640"/>
      <c r="AL26" s="641"/>
    </row>
    <row r="27" spans="1:39" ht="15" customHeight="1" thickBot="1">
      <c r="A27" s="649" t="s">
        <v>52</v>
      </c>
      <c r="B27" s="650"/>
      <c r="C27" s="650"/>
      <c r="D27" s="650"/>
      <c r="E27" s="650"/>
      <c r="F27" s="650"/>
      <c r="G27" s="650"/>
      <c r="H27" s="650"/>
      <c r="I27" s="650"/>
      <c r="J27" s="650"/>
      <c r="K27" s="650"/>
      <c r="L27" s="650"/>
      <c r="M27" s="650"/>
      <c r="N27" s="650"/>
      <c r="O27" s="650"/>
      <c r="P27" s="651">
        <f>'Application Scoring Criteria'!U77</f>
        <v>0</v>
      </c>
      <c r="Q27" s="651"/>
      <c r="R27" s="652" t="s">
        <v>53</v>
      </c>
      <c r="S27" s="652"/>
      <c r="T27" s="652"/>
      <c r="U27" s="652"/>
      <c r="V27" s="652"/>
      <c r="W27" s="652"/>
      <c r="X27" s="652"/>
      <c r="Y27" s="652"/>
      <c r="Z27" s="652"/>
      <c r="AA27" s="652"/>
      <c r="AB27" s="652"/>
      <c r="AC27" s="652"/>
      <c r="AD27" s="652"/>
      <c r="AE27" s="652"/>
      <c r="AF27" s="652"/>
      <c r="AG27" s="652"/>
      <c r="AH27" s="652"/>
      <c r="AI27" s="652"/>
      <c r="AJ27" s="652"/>
      <c r="AK27" s="651">
        <f>'Application Scoring Criteria'!U78</f>
        <v>0</v>
      </c>
      <c r="AL27" s="653"/>
    </row>
    <row r="28" spans="1:39" ht="18" customHeight="1">
      <c r="A28" s="660" t="s">
        <v>54</v>
      </c>
      <c r="B28" s="661"/>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750"/>
    </row>
    <row r="29" spans="1:39" ht="15" customHeight="1">
      <c r="A29" s="913" t="s">
        <v>55</v>
      </c>
      <c r="B29" s="914"/>
      <c r="C29" s="914"/>
      <c r="D29" s="915"/>
      <c r="E29" s="910"/>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2"/>
    </row>
    <row r="30" spans="1:39" s="22" customFormat="1" ht="15" customHeight="1">
      <c r="A30" s="905" t="s">
        <v>56</v>
      </c>
      <c r="B30" s="906"/>
      <c r="C30" s="906"/>
      <c r="D30" s="906"/>
      <c r="E30" s="907"/>
      <c r="F30" s="908"/>
      <c r="G30" s="908"/>
      <c r="H30" s="908"/>
      <c r="I30" s="908"/>
      <c r="J30" s="908"/>
      <c r="K30" s="908"/>
      <c r="L30" s="908"/>
      <c r="M30" s="908"/>
      <c r="N30" s="908"/>
      <c r="O30" s="908"/>
      <c r="P30" s="908"/>
      <c r="Q30" s="908"/>
      <c r="R30" s="909"/>
      <c r="S30" s="726" t="s">
        <v>57</v>
      </c>
      <c r="T30" s="726"/>
      <c r="U30" s="726"/>
      <c r="V30" s="727"/>
      <c r="W30" s="727"/>
      <c r="X30" s="727"/>
      <c r="Y30" s="727"/>
      <c r="Z30" s="727"/>
      <c r="AA30" s="727"/>
      <c r="AB30" s="727"/>
      <c r="AC30" s="726" t="s">
        <v>58</v>
      </c>
      <c r="AD30" s="726"/>
      <c r="AE30" s="749"/>
      <c r="AF30" s="749"/>
      <c r="AG30" s="749"/>
      <c r="AH30" s="510" t="s">
        <v>59</v>
      </c>
      <c r="AI30" s="728"/>
      <c r="AJ30" s="728"/>
      <c r="AK30" s="728"/>
      <c r="AL30" s="729"/>
    </row>
    <row r="31" spans="1:39" ht="15" customHeight="1">
      <c r="A31" s="429" t="s">
        <v>60</v>
      </c>
      <c r="B31" s="430"/>
      <c r="C31" s="430"/>
      <c r="D31" s="430"/>
      <c r="E31" s="635"/>
      <c r="F31" s="636"/>
      <c r="G31" s="636"/>
      <c r="H31" s="636"/>
      <c r="I31" s="636"/>
      <c r="J31" s="636"/>
      <c r="K31" s="751"/>
      <c r="L31" s="747" t="s">
        <v>61</v>
      </c>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8"/>
      <c r="AK31" s="714"/>
      <c r="AL31" s="715"/>
    </row>
    <row r="32" spans="1:39" s="22" customFormat="1" ht="30" customHeight="1">
      <c r="A32" s="723" t="s">
        <v>62</v>
      </c>
      <c r="B32" s="724"/>
      <c r="C32" s="724"/>
      <c r="D32" s="724"/>
      <c r="E32" s="725"/>
      <c r="F32" s="720" t="s">
        <v>63</v>
      </c>
      <c r="G32" s="720"/>
      <c r="H32" s="721"/>
      <c r="I32" s="719" t="s">
        <v>64</v>
      </c>
      <c r="J32" s="720"/>
      <c r="K32" s="720"/>
      <c r="L32" s="719" t="s">
        <v>65</v>
      </c>
      <c r="M32" s="720"/>
      <c r="N32" s="721"/>
      <c r="O32" s="719" t="s">
        <v>66</v>
      </c>
      <c r="P32" s="720"/>
      <c r="Q32" s="721"/>
      <c r="R32" s="719" t="s">
        <v>67</v>
      </c>
      <c r="S32" s="720"/>
      <c r="T32" s="721"/>
      <c r="U32" s="719" t="s">
        <v>68</v>
      </c>
      <c r="V32" s="720"/>
      <c r="W32" s="721"/>
      <c r="X32" s="719" t="s">
        <v>69</v>
      </c>
      <c r="Y32" s="720"/>
      <c r="Z32" s="721"/>
      <c r="AA32" s="719" t="s">
        <v>70</v>
      </c>
      <c r="AB32" s="720"/>
      <c r="AC32" s="721"/>
      <c r="AD32" s="719" t="s">
        <v>71</v>
      </c>
      <c r="AE32" s="720"/>
      <c r="AF32" s="721"/>
      <c r="AG32" s="719" t="s">
        <v>72</v>
      </c>
      <c r="AH32" s="720"/>
      <c r="AI32" s="721"/>
      <c r="AJ32" s="719" t="s">
        <v>73</v>
      </c>
      <c r="AK32" s="720"/>
      <c r="AL32" s="722"/>
      <c r="AM32" s="2"/>
    </row>
    <row r="33" spans="1:39" s="22" customFormat="1" ht="30" customHeight="1">
      <c r="A33" s="902" t="s">
        <v>62</v>
      </c>
      <c r="B33" s="903"/>
      <c r="C33" s="903"/>
      <c r="D33" s="903"/>
      <c r="E33" s="904"/>
      <c r="F33" s="720" t="s">
        <v>74</v>
      </c>
      <c r="G33" s="720"/>
      <c r="H33" s="721"/>
      <c r="I33" s="719" t="s">
        <v>75</v>
      </c>
      <c r="J33" s="720"/>
      <c r="K33" s="720"/>
      <c r="L33" s="719" t="s">
        <v>76</v>
      </c>
      <c r="M33" s="720"/>
      <c r="N33" s="721"/>
      <c r="O33" s="719" t="s">
        <v>77</v>
      </c>
      <c r="P33" s="720"/>
      <c r="Q33" s="721"/>
      <c r="R33" s="719" t="s">
        <v>78</v>
      </c>
      <c r="S33" s="720"/>
      <c r="T33" s="721"/>
      <c r="U33" s="719" t="s">
        <v>79</v>
      </c>
      <c r="V33" s="720"/>
      <c r="W33" s="721"/>
      <c r="X33" s="719" t="s">
        <v>80</v>
      </c>
      <c r="Y33" s="720"/>
      <c r="Z33" s="721"/>
      <c r="AA33" s="719" t="s">
        <v>81</v>
      </c>
      <c r="AB33" s="720"/>
      <c r="AC33" s="721"/>
      <c r="AD33" s="719" t="s">
        <v>82</v>
      </c>
      <c r="AE33" s="720"/>
      <c r="AF33" s="721"/>
      <c r="AG33" s="719" t="s">
        <v>83</v>
      </c>
      <c r="AH33" s="720"/>
      <c r="AI33" s="721"/>
      <c r="AJ33" s="719" t="s">
        <v>84</v>
      </c>
      <c r="AK33" s="720"/>
      <c r="AL33" s="722"/>
      <c r="AM33" s="2"/>
    </row>
    <row r="34" spans="1:39" ht="15" customHeight="1">
      <c r="A34" s="633" t="s">
        <v>85</v>
      </c>
      <c r="B34" s="634"/>
      <c r="C34" s="634"/>
      <c r="D34" s="634"/>
      <c r="E34" s="634"/>
      <c r="F34" s="634"/>
      <c r="G34" s="662"/>
      <c r="H34" s="744" t="str">
        <f>IFERROR(VLOOKUP(E31,'Drop Down'!D1:E58,2,FALSE),"")</f>
        <v/>
      </c>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6"/>
    </row>
    <row r="35" spans="1:39" ht="15" customHeight="1">
      <c r="A35" s="633" t="s">
        <v>86</v>
      </c>
      <c r="B35" s="634"/>
      <c r="C35" s="634"/>
      <c r="D35" s="634"/>
      <c r="E35" s="634"/>
      <c r="F35" s="634"/>
      <c r="G35" s="634"/>
      <c r="H35" s="634"/>
      <c r="I35" s="634"/>
      <c r="J35" s="634"/>
      <c r="K35" s="634"/>
      <c r="L35" s="634"/>
      <c r="M35" s="634"/>
      <c r="N35" s="634"/>
      <c r="O35" s="634"/>
      <c r="P35" s="634"/>
      <c r="Q35" s="634"/>
      <c r="R35" s="634"/>
      <c r="S35" s="635"/>
      <c r="T35" s="636"/>
      <c r="U35" s="636"/>
      <c r="V35" s="636"/>
      <c r="W35" s="636"/>
      <c r="X35" s="636"/>
      <c r="Y35" s="636"/>
      <c r="Z35" s="636"/>
      <c r="AA35" s="636"/>
      <c r="AB35" s="636"/>
      <c r="AC35" s="636"/>
      <c r="AD35" s="636"/>
      <c r="AE35" s="636"/>
      <c r="AF35" s="636"/>
      <c r="AG35" s="636"/>
      <c r="AH35" s="636"/>
      <c r="AI35" s="636"/>
      <c r="AJ35" s="636"/>
      <c r="AK35" s="636"/>
      <c r="AL35" s="637"/>
    </row>
    <row r="36" spans="1:39" ht="15" customHeight="1">
      <c r="A36" s="633" t="s">
        <v>87</v>
      </c>
      <c r="B36" s="634"/>
      <c r="C36" s="634"/>
      <c r="D36" s="634"/>
      <c r="E36" s="634"/>
      <c r="F36" s="634"/>
      <c r="G36" s="662"/>
      <c r="H36" s="635"/>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7"/>
    </row>
    <row r="37" spans="1:39" s="29" customFormat="1" ht="15" customHeight="1">
      <c r="A37" s="654" t="s">
        <v>88</v>
      </c>
      <c r="B37" s="655"/>
      <c r="C37" s="655"/>
      <c r="D37" s="655"/>
      <c r="E37" s="655"/>
      <c r="F37" s="655"/>
      <c r="G37" s="655"/>
      <c r="H37" s="655"/>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6"/>
    </row>
    <row r="38" spans="1:39" ht="45" customHeight="1">
      <c r="A38" s="630"/>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2"/>
    </row>
    <row r="39" spans="1:39" ht="15" customHeight="1">
      <c r="A39" s="833" t="s">
        <v>89</v>
      </c>
      <c r="B39" s="834"/>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c r="AJ39" s="834"/>
      <c r="AK39" s="834"/>
      <c r="AL39" s="835"/>
    </row>
    <row r="40" spans="1:39" ht="105" customHeight="1">
      <c r="A40" s="630"/>
      <c r="B40" s="631"/>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632"/>
    </row>
    <row r="41" spans="1:39" s="334" customFormat="1" ht="30" customHeight="1">
      <c r="A41" s="654" t="s">
        <v>90</v>
      </c>
      <c r="B41" s="655"/>
      <c r="C41" s="655"/>
      <c r="D41" s="708"/>
      <c r="E41" s="708"/>
      <c r="F41" s="708"/>
      <c r="G41" s="708"/>
      <c r="H41" s="708"/>
      <c r="I41" s="708"/>
      <c r="J41" s="708"/>
      <c r="K41" s="708"/>
      <c r="L41" s="708"/>
      <c r="M41" s="708"/>
      <c r="N41" s="708"/>
      <c r="O41" s="708"/>
      <c r="P41" s="708"/>
      <c r="Q41" s="708"/>
      <c r="R41" s="709"/>
      <c r="S41" s="710"/>
      <c r="T41" s="711"/>
      <c r="U41" s="711"/>
      <c r="V41" s="711"/>
      <c r="W41" s="710"/>
      <c r="X41" s="710"/>
      <c r="Y41" s="710"/>
      <c r="Z41" s="710"/>
      <c r="AA41" s="710"/>
      <c r="AB41" s="710"/>
      <c r="AC41" s="710"/>
      <c r="AD41" s="710"/>
      <c r="AE41" s="710"/>
      <c r="AF41" s="711"/>
      <c r="AG41" s="711"/>
      <c r="AH41" s="711"/>
      <c r="AI41" s="711"/>
      <c r="AJ41" s="711"/>
      <c r="AK41" s="711"/>
      <c r="AL41" s="712"/>
    </row>
    <row r="42" spans="1:39" s="334" customFormat="1" ht="15" customHeight="1">
      <c r="A42" s="654" t="s">
        <v>91</v>
      </c>
      <c r="B42" s="655"/>
      <c r="C42" s="655"/>
      <c r="D42" s="655"/>
      <c r="E42" s="655"/>
      <c r="F42" s="655"/>
      <c r="G42" s="655"/>
      <c r="H42" s="655"/>
      <c r="I42" s="655"/>
      <c r="J42" s="655"/>
      <c r="K42" s="655"/>
      <c r="L42" s="655"/>
      <c r="M42" s="655"/>
      <c r="N42" s="655"/>
      <c r="O42" s="655"/>
      <c r="P42" s="655"/>
      <c r="Q42" s="655"/>
      <c r="R42" s="655"/>
      <c r="S42" s="655"/>
      <c r="T42" s="655"/>
      <c r="U42" s="655"/>
      <c r="V42" s="655"/>
      <c r="W42" s="655"/>
      <c r="X42" s="655"/>
      <c r="Y42" s="655"/>
      <c r="Z42" s="655"/>
      <c r="AA42" s="655"/>
      <c r="AB42" s="655"/>
      <c r="AC42" s="655"/>
      <c r="AD42" s="655"/>
      <c r="AE42" s="655"/>
      <c r="AF42" s="655"/>
      <c r="AG42" s="655"/>
      <c r="AH42" s="655"/>
      <c r="AI42" s="655"/>
      <c r="AJ42" s="713"/>
      <c r="AK42" s="714"/>
      <c r="AL42" s="715"/>
    </row>
    <row r="43" spans="1:39" s="20" customFormat="1" ht="15" customHeight="1">
      <c r="A43" s="737" t="s">
        <v>92</v>
      </c>
      <c r="B43" s="738"/>
      <c r="C43" s="738"/>
      <c r="D43" s="738"/>
      <c r="E43" s="738"/>
      <c r="F43" s="738"/>
      <c r="G43" s="738"/>
      <c r="H43" s="738"/>
      <c r="I43" s="738"/>
      <c r="J43" s="738"/>
      <c r="K43" s="738"/>
      <c r="L43" s="738"/>
      <c r="M43" s="738"/>
      <c r="N43" s="739"/>
      <c r="O43" s="740" t="s">
        <v>93</v>
      </c>
      <c r="P43" s="738"/>
      <c r="Q43" s="738"/>
      <c r="R43" s="738"/>
      <c r="S43" s="739"/>
      <c r="T43" s="740" t="s">
        <v>94</v>
      </c>
      <c r="U43" s="738"/>
      <c r="V43" s="738"/>
      <c r="W43" s="738"/>
      <c r="X43" s="738"/>
      <c r="Y43" s="738"/>
      <c r="Z43" s="738"/>
      <c r="AA43" s="739"/>
      <c r="AB43" s="740" t="s">
        <v>95</v>
      </c>
      <c r="AC43" s="738"/>
      <c r="AD43" s="739"/>
      <c r="AE43" s="740" t="s">
        <v>96</v>
      </c>
      <c r="AF43" s="738"/>
      <c r="AG43" s="738"/>
      <c r="AH43" s="738"/>
      <c r="AI43" s="738"/>
      <c r="AJ43" s="738"/>
      <c r="AK43" s="738"/>
      <c r="AL43" s="741"/>
    </row>
    <row r="44" spans="1:39" s="20" customFormat="1" ht="15" customHeight="1">
      <c r="A44" s="848"/>
      <c r="B44" s="849"/>
      <c r="C44" s="849"/>
      <c r="D44" s="849"/>
      <c r="E44" s="849"/>
      <c r="F44" s="849"/>
      <c r="G44" s="849"/>
      <c r="H44" s="849"/>
      <c r="I44" s="849"/>
      <c r="J44" s="849"/>
      <c r="K44" s="849"/>
      <c r="L44" s="849"/>
      <c r="M44" s="849"/>
      <c r="N44" s="849"/>
      <c r="O44" s="768"/>
      <c r="P44" s="768"/>
      <c r="Q44" s="768"/>
      <c r="R44" s="768"/>
      <c r="S44" s="768"/>
      <c r="T44" s="769"/>
      <c r="U44" s="770"/>
      <c r="V44" s="770"/>
      <c r="W44" s="770"/>
      <c r="X44" s="770"/>
      <c r="Y44" s="770"/>
      <c r="Z44" s="770"/>
      <c r="AA44" s="771"/>
      <c r="AB44" s="772"/>
      <c r="AC44" s="773"/>
      <c r="AD44" s="774"/>
      <c r="AE44" s="772"/>
      <c r="AF44" s="773"/>
      <c r="AG44" s="773"/>
      <c r="AH44" s="773"/>
      <c r="AI44" s="773"/>
      <c r="AJ44" s="773"/>
      <c r="AK44" s="773"/>
      <c r="AL44" s="836"/>
    </row>
    <row r="45" spans="1:39" s="20" customFormat="1" ht="15" customHeight="1">
      <c r="A45" s="848"/>
      <c r="B45" s="849"/>
      <c r="C45" s="849"/>
      <c r="D45" s="849"/>
      <c r="E45" s="849"/>
      <c r="F45" s="849"/>
      <c r="G45" s="849"/>
      <c r="H45" s="849"/>
      <c r="I45" s="849"/>
      <c r="J45" s="849"/>
      <c r="K45" s="849"/>
      <c r="L45" s="849"/>
      <c r="M45" s="849"/>
      <c r="N45" s="849"/>
      <c r="O45" s="768"/>
      <c r="P45" s="768"/>
      <c r="Q45" s="768"/>
      <c r="R45" s="768"/>
      <c r="S45" s="768"/>
      <c r="T45" s="769"/>
      <c r="U45" s="770"/>
      <c r="V45" s="770"/>
      <c r="W45" s="770"/>
      <c r="X45" s="770"/>
      <c r="Y45" s="770"/>
      <c r="Z45" s="770"/>
      <c r="AA45" s="771"/>
      <c r="AB45" s="772"/>
      <c r="AC45" s="773"/>
      <c r="AD45" s="774"/>
      <c r="AE45" s="772"/>
      <c r="AF45" s="773"/>
      <c r="AG45" s="773"/>
      <c r="AH45" s="773"/>
      <c r="AI45" s="773"/>
      <c r="AJ45" s="773"/>
      <c r="AK45" s="773"/>
      <c r="AL45" s="836"/>
    </row>
    <row r="46" spans="1:39" ht="18" customHeight="1">
      <c r="A46" s="827" t="s">
        <v>97</v>
      </c>
      <c r="B46" s="828"/>
      <c r="C46" s="828"/>
      <c r="D46" s="828"/>
      <c r="E46" s="828"/>
      <c r="F46" s="828"/>
      <c r="G46" s="828"/>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9"/>
    </row>
    <row r="47" spans="1:39" s="335" customFormat="1" ht="15" customHeight="1">
      <c r="A47" s="850" t="s">
        <v>98</v>
      </c>
      <c r="B47" s="851"/>
      <c r="C47" s="851"/>
      <c r="D47" s="851"/>
      <c r="E47" s="851"/>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2"/>
    </row>
    <row r="48" spans="1:39" s="335" customFormat="1" ht="15" customHeight="1">
      <c r="A48" s="830" t="s">
        <v>99</v>
      </c>
      <c r="B48" s="831"/>
      <c r="C48" s="832"/>
      <c r="D48" s="838"/>
      <c r="E48" s="839"/>
      <c r="F48" s="839"/>
      <c r="G48" s="839"/>
      <c r="H48" s="839"/>
      <c r="I48" s="839"/>
      <c r="J48" s="839"/>
      <c r="K48" s="839"/>
      <c r="L48" s="839"/>
      <c r="M48" s="839"/>
      <c r="N48" s="839"/>
      <c r="O48" s="839"/>
      <c r="P48" s="839"/>
      <c r="Q48" s="839"/>
      <c r="R48" s="839"/>
      <c r="S48" s="839"/>
      <c r="T48" s="839"/>
      <c r="U48" s="839"/>
      <c r="V48" s="839"/>
      <c r="W48" s="839"/>
      <c r="X48" s="839"/>
      <c r="Y48" s="839"/>
      <c r="Z48" s="840"/>
      <c r="AA48" s="783" t="s">
        <v>100</v>
      </c>
      <c r="AB48" s="784"/>
      <c r="AC48" s="784"/>
      <c r="AD48" s="858"/>
      <c r="AE48" s="838"/>
      <c r="AF48" s="839"/>
      <c r="AG48" s="839"/>
      <c r="AH48" s="839"/>
      <c r="AI48" s="839"/>
      <c r="AJ48" s="839"/>
      <c r="AK48" s="839"/>
      <c r="AL48" s="859"/>
    </row>
    <row r="49" spans="1:38" s="335" customFormat="1" ht="15" customHeight="1">
      <c r="A49" s="778" t="s">
        <v>101</v>
      </c>
      <c r="B49" s="779"/>
      <c r="C49" s="785"/>
      <c r="D49" s="786"/>
      <c r="E49" s="786"/>
      <c r="F49" s="786"/>
      <c r="G49" s="786"/>
      <c r="H49" s="786"/>
      <c r="I49" s="786"/>
      <c r="J49" s="786"/>
      <c r="K49" s="786"/>
      <c r="L49" s="786"/>
      <c r="M49" s="786"/>
      <c r="N49" s="786"/>
      <c r="O49" s="786"/>
      <c r="P49" s="786"/>
      <c r="Q49" s="786"/>
      <c r="R49" s="786"/>
      <c r="S49" s="786"/>
      <c r="T49" s="786"/>
      <c r="U49" s="787"/>
      <c r="V49" s="382" t="s">
        <v>102</v>
      </c>
      <c r="W49" s="788"/>
      <c r="X49" s="789"/>
      <c r="Y49" s="789"/>
      <c r="Z49" s="789"/>
      <c r="AA49" s="789"/>
      <c r="AB49" s="790"/>
      <c r="AC49" s="791" t="s">
        <v>58</v>
      </c>
      <c r="AD49" s="837"/>
      <c r="AE49" s="877" t="s">
        <v>103</v>
      </c>
      <c r="AF49" s="878"/>
      <c r="AG49" s="879"/>
      <c r="AH49" s="383" t="s">
        <v>59</v>
      </c>
      <c r="AI49" s="841"/>
      <c r="AJ49" s="841"/>
      <c r="AK49" s="841"/>
      <c r="AL49" s="842"/>
    </row>
    <row r="50" spans="1:38" s="335" customFormat="1" ht="15" customHeight="1">
      <c r="A50" s="843" t="s">
        <v>104</v>
      </c>
      <c r="B50" s="844"/>
      <c r="C50" s="844"/>
      <c r="D50" s="880"/>
      <c r="E50" s="881"/>
      <c r="F50" s="881"/>
      <c r="G50" s="881"/>
      <c r="H50" s="881"/>
      <c r="I50" s="881"/>
      <c r="J50" s="881"/>
      <c r="K50" s="881"/>
      <c r="L50" s="881"/>
      <c r="M50" s="497" t="s">
        <v>105</v>
      </c>
      <c r="N50" s="882"/>
      <c r="O50" s="883"/>
      <c r="P50" s="883"/>
      <c r="Q50" s="883"/>
      <c r="R50" s="883"/>
      <c r="S50" s="883"/>
      <c r="T50" s="883"/>
      <c r="U50" s="884"/>
      <c r="V50" s="783" t="s">
        <v>106</v>
      </c>
      <c r="W50" s="858"/>
      <c r="X50" s="860"/>
      <c r="Y50" s="861"/>
      <c r="Z50" s="861"/>
      <c r="AA50" s="861"/>
      <c r="AB50" s="861"/>
      <c r="AC50" s="861"/>
      <c r="AD50" s="861"/>
      <c r="AE50" s="861"/>
      <c r="AF50" s="861"/>
      <c r="AG50" s="783" t="s">
        <v>107</v>
      </c>
      <c r="AH50" s="858"/>
      <c r="AI50" s="845"/>
      <c r="AJ50" s="846"/>
      <c r="AK50" s="846"/>
      <c r="AL50" s="847"/>
    </row>
    <row r="51" spans="1:38" s="335" customFormat="1" ht="15" customHeight="1">
      <c r="A51" s="843" t="s">
        <v>108</v>
      </c>
      <c r="B51" s="844"/>
      <c r="C51" s="844"/>
      <c r="D51" s="853"/>
      <c r="E51" s="854"/>
      <c r="F51" s="854"/>
      <c r="G51" s="854"/>
      <c r="H51" s="854"/>
      <c r="I51" s="854"/>
      <c r="J51" s="854"/>
      <c r="K51" s="854"/>
      <c r="L51" s="855"/>
      <c r="M51" s="526" t="s">
        <v>105</v>
      </c>
      <c r="N51" s="838"/>
      <c r="O51" s="839"/>
      <c r="P51" s="839"/>
      <c r="Q51" s="839"/>
      <c r="R51" s="839"/>
      <c r="S51" s="839"/>
      <c r="T51" s="839"/>
      <c r="U51" s="840"/>
      <c r="V51" s="783" t="s">
        <v>106</v>
      </c>
      <c r="W51" s="784"/>
      <c r="X51" s="838"/>
      <c r="Y51" s="839"/>
      <c r="Z51" s="839"/>
      <c r="AA51" s="839"/>
      <c r="AB51" s="839"/>
      <c r="AC51" s="839"/>
      <c r="AD51" s="839"/>
      <c r="AE51" s="839"/>
      <c r="AF51" s="840"/>
      <c r="AG51" s="784" t="s">
        <v>107</v>
      </c>
      <c r="AH51" s="784"/>
      <c r="AI51" s="845"/>
      <c r="AJ51" s="846"/>
      <c r="AK51" s="846"/>
      <c r="AL51" s="847"/>
    </row>
    <row r="52" spans="1:38" s="335" customFormat="1" ht="15" customHeight="1">
      <c r="A52" s="778" t="s">
        <v>101</v>
      </c>
      <c r="B52" s="779"/>
      <c r="C52" s="785"/>
      <c r="D52" s="868"/>
      <c r="E52" s="868"/>
      <c r="F52" s="868"/>
      <c r="G52" s="868"/>
      <c r="H52" s="868"/>
      <c r="I52" s="868"/>
      <c r="J52" s="868"/>
      <c r="K52" s="868"/>
      <c r="L52" s="868"/>
      <c r="M52" s="786"/>
      <c r="N52" s="786"/>
      <c r="O52" s="786"/>
      <c r="P52" s="786"/>
      <c r="Q52" s="786"/>
      <c r="R52" s="786"/>
      <c r="S52" s="786"/>
      <c r="T52" s="786"/>
      <c r="U52" s="787"/>
      <c r="V52" s="383" t="s">
        <v>102</v>
      </c>
      <c r="W52" s="788"/>
      <c r="X52" s="862"/>
      <c r="Y52" s="862"/>
      <c r="Z52" s="862"/>
      <c r="AA52" s="862"/>
      <c r="AB52" s="863"/>
      <c r="AC52" s="864" t="s">
        <v>58</v>
      </c>
      <c r="AD52" s="865"/>
      <c r="AE52" s="866"/>
      <c r="AF52" s="867"/>
      <c r="AG52" s="840"/>
      <c r="AH52" s="383" t="s">
        <v>59</v>
      </c>
      <c r="AI52" s="841"/>
      <c r="AJ52" s="841"/>
      <c r="AK52" s="841"/>
      <c r="AL52" s="842"/>
    </row>
    <row r="53" spans="1:38" s="336" customFormat="1" ht="15" customHeight="1">
      <c r="A53" s="821" t="s">
        <v>109</v>
      </c>
      <c r="B53" s="822"/>
      <c r="C53" s="823"/>
      <c r="D53" s="810" t="s">
        <v>110</v>
      </c>
      <c r="E53" s="761"/>
      <c r="F53" s="761"/>
      <c r="G53" s="761"/>
      <c r="H53" s="761"/>
      <c r="I53" s="761"/>
      <c r="J53" s="761"/>
      <c r="K53" s="761"/>
      <c r="L53" s="824" t="s">
        <v>111</v>
      </c>
      <c r="M53" s="825"/>
      <c r="N53" s="825"/>
      <c r="O53" s="825"/>
      <c r="P53" s="825"/>
      <c r="Q53" s="825"/>
      <c r="R53" s="825"/>
      <c r="S53" s="825"/>
      <c r="T53" s="825"/>
      <c r="U53" s="825"/>
      <c r="V53" s="825"/>
      <c r="W53" s="825"/>
      <c r="X53" s="825"/>
      <c r="Y53" s="825"/>
      <c r="Z53" s="825"/>
      <c r="AA53" s="825"/>
      <c r="AB53" s="825"/>
      <c r="AC53" s="825"/>
      <c r="AD53" s="825"/>
      <c r="AE53" s="826"/>
      <c r="AF53" s="856" t="s">
        <v>112</v>
      </c>
      <c r="AG53" s="856"/>
      <c r="AH53" s="856"/>
      <c r="AI53" s="856"/>
      <c r="AJ53" s="857"/>
      <c r="AK53" s="714"/>
      <c r="AL53" s="715"/>
    </row>
    <row r="54" spans="1:38" s="336" customFormat="1" ht="15" customHeight="1">
      <c r="A54" s="821" t="s">
        <v>109</v>
      </c>
      <c r="B54" s="822"/>
      <c r="C54" s="823"/>
      <c r="D54" s="810" t="s">
        <v>113</v>
      </c>
      <c r="E54" s="761"/>
      <c r="F54" s="761"/>
      <c r="G54" s="761"/>
      <c r="H54" s="761"/>
      <c r="I54" s="761"/>
      <c r="J54" s="761"/>
      <c r="K54" s="761"/>
      <c r="L54" s="824" t="s">
        <v>114</v>
      </c>
      <c r="M54" s="825"/>
      <c r="N54" s="825"/>
      <c r="O54" s="825"/>
      <c r="P54" s="825"/>
      <c r="Q54" s="825"/>
      <c r="R54" s="825"/>
      <c r="S54" s="825"/>
      <c r="T54" s="825"/>
      <c r="U54" s="825"/>
      <c r="V54" s="825"/>
      <c r="W54" s="825"/>
      <c r="X54" s="825"/>
      <c r="Y54" s="825"/>
      <c r="Z54" s="825"/>
      <c r="AA54" s="825"/>
      <c r="AB54" s="825"/>
      <c r="AC54" s="825"/>
      <c r="AD54" s="825"/>
      <c r="AE54" s="826"/>
      <c r="AF54" s="856" t="s">
        <v>112</v>
      </c>
      <c r="AG54" s="856"/>
      <c r="AH54" s="856"/>
      <c r="AI54" s="856"/>
      <c r="AJ54" s="857"/>
      <c r="AK54" s="714"/>
      <c r="AL54" s="715"/>
    </row>
    <row r="55" spans="1:38" s="336" customFormat="1" ht="15" customHeight="1">
      <c r="A55" s="821" t="s">
        <v>109</v>
      </c>
      <c r="B55" s="822"/>
      <c r="C55" s="823"/>
      <c r="D55" s="810" t="s">
        <v>115</v>
      </c>
      <c r="E55" s="761"/>
      <c r="F55" s="761"/>
      <c r="G55" s="761"/>
      <c r="H55" s="761"/>
      <c r="I55" s="761"/>
      <c r="J55" s="761"/>
      <c r="K55" s="761"/>
      <c r="L55" s="824" t="s">
        <v>116</v>
      </c>
      <c r="M55" s="825"/>
      <c r="N55" s="825"/>
      <c r="O55" s="825"/>
      <c r="P55" s="825"/>
      <c r="Q55" s="825"/>
      <c r="R55" s="825"/>
      <c r="S55" s="825"/>
      <c r="T55" s="825"/>
      <c r="U55" s="825"/>
      <c r="V55" s="825"/>
      <c r="W55" s="825"/>
      <c r="X55" s="825"/>
      <c r="Y55" s="825"/>
      <c r="Z55" s="825"/>
      <c r="AA55" s="825"/>
      <c r="AB55" s="825"/>
      <c r="AC55" s="825"/>
      <c r="AD55" s="825"/>
      <c r="AE55" s="826"/>
      <c r="AF55" s="856" t="s">
        <v>112</v>
      </c>
      <c r="AG55" s="856"/>
      <c r="AH55" s="856"/>
      <c r="AI55" s="856"/>
      <c r="AJ55" s="857"/>
      <c r="AK55" s="714"/>
      <c r="AL55" s="715"/>
    </row>
    <row r="56" spans="1:38" s="335" customFormat="1" ht="15" customHeight="1">
      <c r="A56" s="850" t="s">
        <v>117</v>
      </c>
      <c r="B56" s="851"/>
      <c r="C56" s="851"/>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851"/>
      <c r="AG56" s="851"/>
      <c r="AH56" s="851"/>
      <c r="AI56" s="851"/>
      <c r="AJ56" s="851"/>
      <c r="AK56" s="851"/>
      <c r="AL56" s="852"/>
    </row>
    <row r="57" spans="1:38" s="335" customFormat="1" ht="15" customHeight="1">
      <c r="A57" s="830" t="s">
        <v>99</v>
      </c>
      <c r="B57" s="831"/>
      <c r="C57" s="832"/>
      <c r="D57" s="838"/>
      <c r="E57" s="839"/>
      <c r="F57" s="839"/>
      <c r="G57" s="839"/>
      <c r="H57" s="839"/>
      <c r="I57" s="839"/>
      <c r="J57" s="839"/>
      <c r="K57" s="839"/>
      <c r="L57" s="839"/>
      <c r="M57" s="839"/>
      <c r="N57" s="839"/>
      <c r="O57" s="839"/>
      <c r="P57" s="839"/>
      <c r="Q57" s="839"/>
      <c r="R57" s="839"/>
      <c r="S57" s="839"/>
      <c r="T57" s="839"/>
      <c r="U57" s="839"/>
      <c r="V57" s="839"/>
      <c r="W57" s="839"/>
      <c r="X57" s="839"/>
      <c r="Y57" s="839"/>
      <c r="Z57" s="840"/>
      <c r="AA57" s="783" t="s">
        <v>100</v>
      </c>
      <c r="AB57" s="784"/>
      <c r="AC57" s="784"/>
      <c r="AD57" s="858"/>
      <c r="AE57" s="838"/>
      <c r="AF57" s="839"/>
      <c r="AG57" s="839"/>
      <c r="AH57" s="839"/>
      <c r="AI57" s="839"/>
      <c r="AJ57" s="839"/>
      <c r="AK57" s="839"/>
      <c r="AL57" s="859"/>
    </row>
    <row r="58" spans="1:38" s="335" customFormat="1" ht="15" customHeight="1">
      <c r="A58" s="778" t="s">
        <v>101</v>
      </c>
      <c r="B58" s="779"/>
      <c r="C58" s="785"/>
      <c r="D58" s="786"/>
      <c r="E58" s="786"/>
      <c r="F58" s="786"/>
      <c r="G58" s="786"/>
      <c r="H58" s="786"/>
      <c r="I58" s="786"/>
      <c r="J58" s="786"/>
      <c r="K58" s="786"/>
      <c r="L58" s="786"/>
      <c r="M58" s="786"/>
      <c r="N58" s="786"/>
      <c r="O58" s="786"/>
      <c r="P58" s="786"/>
      <c r="Q58" s="786"/>
      <c r="R58" s="786"/>
      <c r="S58" s="786"/>
      <c r="T58" s="786"/>
      <c r="U58" s="787"/>
      <c r="V58" s="382" t="s">
        <v>102</v>
      </c>
      <c r="W58" s="788"/>
      <c r="X58" s="789"/>
      <c r="Y58" s="789"/>
      <c r="Z58" s="789"/>
      <c r="AA58" s="789"/>
      <c r="AB58" s="790"/>
      <c r="AC58" s="791" t="s">
        <v>58</v>
      </c>
      <c r="AD58" s="837"/>
      <c r="AE58" s="838"/>
      <c r="AF58" s="839"/>
      <c r="AG58" s="840"/>
      <c r="AH58" s="383" t="s">
        <v>59</v>
      </c>
      <c r="AI58" s="841"/>
      <c r="AJ58" s="841"/>
      <c r="AK58" s="841"/>
      <c r="AL58" s="842"/>
    </row>
    <row r="59" spans="1:38" s="335" customFormat="1" ht="15" customHeight="1">
      <c r="A59" s="843" t="s">
        <v>104</v>
      </c>
      <c r="B59" s="844"/>
      <c r="C59" s="844"/>
      <c r="D59" s="880"/>
      <c r="E59" s="881"/>
      <c r="F59" s="881"/>
      <c r="G59" s="881"/>
      <c r="H59" s="881"/>
      <c r="I59" s="881"/>
      <c r="J59" s="881"/>
      <c r="K59" s="881"/>
      <c r="L59" s="881"/>
      <c r="M59" s="497" t="s">
        <v>105</v>
      </c>
      <c r="N59" s="882"/>
      <c r="O59" s="883"/>
      <c r="P59" s="883"/>
      <c r="Q59" s="883"/>
      <c r="R59" s="883"/>
      <c r="S59" s="883"/>
      <c r="T59" s="883"/>
      <c r="U59" s="884"/>
      <c r="V59" s="783" t="s">
        <v>106</v>
      </c>
      <c r="W59" s="858"/>
      <c r="X59" s="860"/>
      <c r="Y59" s="861"/>
      <c r="Z59" s="861"/>
      <c r="AA59" s="861"/>
      <c r="AB59" s="861"/>
      <c r="AC59" s="861"/>
      <c r="AD59" s="861"/>
      <c r="AE59" s="861"/>
      <c r="AF59" s="861"/>
      <c r="AG59" s="783" t="s">
        <v>107</v>
      </c>
      <c r="AH59" s="858"/>
      <c r="AI59" s="845"/>
      <c r="AJ59" s="846"/>
      <c r="AK59" s="846"/>
      <c r="AL59" s="847"/>
    </row>
    <row r="60" spans="1:38" s="335" customFormat="1" ht="15" customHeight="1">
      <c r="A60" s="843" t="s">
        <v>108</v>
      </c>
      <c r="B60" s="844"/>
      <c r="C60" s="844"/>
      <c r="D60" s="853"/>
      <c r="E60" s="854"/>
      <c r="F60" s="854"/>
      <c r="G60" s="854"/>
      <c r="H60" s="854"/>
      <c r="I60" s="854"/>
      <c r="J60" s="854"/>
      <c r="K60" s="854"/>
      <c r="L60" s="855"/>
      <c r="M60" s="526" t="s">
        <v>105</v>
      </c>
      <c r="N60" s="838"/>
      <c r="O60" s="839"/>
      <c r="P60" s="839"/>
      <c r="Q60" s="839"/>
      <c r="R60" s="839"/>
      <c r="S60" s="839"/>
      <c r="T60" s="839"/>
      <c r="U60" s="840"/>
      <c r="V60" s="783" t="s">
        <v>106</v>
      </c>
      <c r="W60" s="784"/>
      <c r="X60" s="838"/>
      <c r="Y60" s="839"/>
      <c r="Z60" s="839"/>
      <c r="AA60" s="839"/>
      <c r="AB60" s="839"/>
      <c r="AC60" s="839"/>
      <c r="AD60" s="839"/>
      <c r="AE60" s="839"/>
      <c r="AF60" s="840"/>
      <c r="AG60" s="784" t="s">
        <v>107</v>
      </c>
      <c r="AH60" s="784"/>
      <c r="AI60" s="845"/>
      <c r="AJ60" s="846"/>
      <c r="AK60" s="846"/>
      <c r="AL60" s="847"/>
    </row>
    <row r="61" spans="1:38" s="335" customFormat="1" ht="15" customHeight="1">
      <c r="A61" s="778" t="s">
        <v>101</v>
      </c>
      <c r="B61" s="779"/>
      <c r="C61" s="785"/>
      <c r="D61" s="868"/>
      <c r="E61" s="868"/>
      <c r="F61" s="868"/>
      <c r="G61" s="868"/>
      <c r="H61" s="868"/>
      <c r="I61" s="868"/>
      <c r="J61" s="868"/>
      <c r="K61" s="868"/>
      <c r="L61" s="868"/>
      <c r="M61" s="786"/>
      <c r="N61" s="786"/>
      <c r="O61" s="786"/>
      <c r="P61" s="786"/>
      <c r="Q61" s="786"/>
      <c r="R61" s="786"/>
      <c r="S61" s="786"/>
      <c r="T61" s="786"/>
      <c r="U61" s="787"/>
      <c r="V61" s="383" t="s">
        <v>102</v>
      </c>
      <c r="W61" s="788"/>
      <c r="X61" s="862"/>
      <c r="Y61" s="862"/>
      <c r="Z61" s="862"/>
      <c r="AA61" s="862"/>
      <c r="AB61" s="863"/>
      <c r="AC61" s="864" t="s">
        <v>58</v>
      </c>
      <c r="AD61" s="865"/>
      <c r="AE61" s="866"/>
      <c r="AF61" s="867"/>
      <c r="AG61" s="840"/>
      <c r="AH61" s="383" t="s">
        <v>59</v>
      </c>
      <c r="AI61" s="841"/>
      <c r="AJ61" s="841"/>
      <c r="AK61" s="841"/>
      <c r="AL61" s="842"/>
    </row>
    <row r="62" spans="1:38" s="336" customFormat="1" ht="15" customHeight="1">
      <c r="A62" s="821" t="s">
        <v>109</v>
      </c>
      <c r="B62" s="822"/>
      <c r="C62" s="823"/>
      <c r="D62" s="810" t="s">
        <v>118</v>
      </c>
      <c r="E62" s="761"/>
      <c r="F62" s="761"/>
      <c r="G62" s="761"/>
      <c r="H62" s="761"/>
      <c r="I62" s="761"/>
      <c r="J62" s="761"/>
      <c r="K62" s="761"/>
      <c r="L62" s="824" t="s">
        <v>111</v>
      </c>
      <c r="M62" s="825"/>
      <c r="N62" s="825"/>
      <c r="O62" s="825"/>
      <c r="P62" s="825"/>
      <c r="Q62" s="825"/>
      <c r="R62" s="825"/>
      <c r="S62" s="825"/>
      <c r="T62" s="825"/>
      <c r="U62" s="825"/>
      <c r="V62" s="825"/>
      <c r="W62" s="825"/>
      <c r="X62" s="825"/>
      <c r="Y62" s="825"/>
      <c r="Z62" s="825"/>
      <c r="AA62" s="825"/>
      <c r="AB62" s="825"/>
      <c r="AC62" s="825"/>
      <c r="AD62" s="825"/>
      <c r="AE62" s="826"/>
      <c r="AF62" s="856" t="s">
        <v>112</v>
      </c>
      <c r="AG62" s="856"/>
      <c r="AH62" s="856"/>
      <c r="AI62" s="856"/>
      <c r="AJ62" s="857"/>
      <c r="AK62" s="714"/>
      <c r="AL62" s="715"/>
    </row>
    <row r="63" spans="1:38" s="336" customFormat="1" ht="15" customHeight="1">
      <c r="A63" s="821" t="s">
        <v>109</v>
      </c>
      <c r="B63" s="822"/>
      <c r="C63" s="823"/>
      <c r="D63" s="810" t="s">
        <v>119</v>
      </c>
      <c r="E63" s="761"/>
      <c r="F63" s="761"/>
      <c r="G63" s="761"/>
      <c r="H63" s="761"/>
      <c r="I63" s="761"/>
      <c r="J63" s="761"/>
      <c r="K63" s="761"/>
      <c r="L63" s="824" t="s">
        <v>114</v>
      </c>
      <c r="M63" s="825"/>
      <c r="N63" s="825"/>
      <c r="O63" s="825"/>
      <c r="P63" s="825"/>
      <c r="Q63" s="825"/>
      <c r="R63" s="825"/>
      <c r="S63" s="825"/>
      <c r="T63" s="825"/>
      <c r="U63" s="825"/>
      <c r="V63" s="825"/>
      <c r="W63" s="825"/>
      <c r="X63" s="825"/>
      <c r="Y63" s="825"/>
      <c r="Z63" s="825"/>
      <c r="AA63" s="825"/>
      <c r="AB63" s="825"/>
      <c r="AC63" s="825"/>
      <c r="AD63" s="825"/>
      <c r="AE63" s="826"/>
      <c r="AF63" s="856" t="s">
        <v>112</v>
      </c>
      <c r="AG63" s="856"/>
      <c r="AH63" s="856"/>
      <c r="AI63" s="856"/>
      <c r="AJ63" s="857"/>
      <c r="AK63" s="714"/>
      <c r="AL63" s="715"/>
    </row>
    <row r="64" spans="1:38" s="336" customFormat="1" ht="15" customHeight="1">
      <c r="A64" s="821" t="s">
        <v>109</v>
      </c>
      <c r="B64" s="822"/>
      <c r="C64" s="823"/>
      <c r="D64" s="810" t="s">
        <v>120</v>
      </c>
      <c r="E64" s="761"/>
      <c r="F64" s="761"/>
      <c r="G64" s="761"/>
      <c r="H64" s="761"/>
      <c r="I64" s="761"/>
      <c r="J64" s="761"/>
      <c r="K64" s="761"/>
      <c r="L64" s="824" t="s">
        <v>116</v>
      </c>
      <c r="M64" s="825"/>
      <c r="N64" s="825"/>
      <c r="O64" s="825"/>
      <c r="P64" s="825"/>
      <c r="Q64" s="825"/>
      <c r="R64" s="825"/>
      <c r="S64" s="825"/>
      <c r="T64" s="825"/>
      <c r="U64" s="825"/>
      <c r="V64" s="825"/>
      <c r="W64" s="825"/>
      <c r="X64" s="825"/>
      <c r="Y64" s="825"/>
      <c r="Z64" s="825"/>
      <c r="AA64" s="825"/>
      <c r="AB64" s="825"/>
      <c r="AC64" s="825"/>
      <c r="AD64" s="825"/>
      <c r="AE64" s="826"/>
      <c r="AF64" s="856" t="s">
        <v>112</v>
      </c>
      <c r="AG64" s="856"/>
      <c r="AH64" s="856"/>
      <c r="AI64" s="856"/>
      <c r="AJ64" s="857"/>
      <c r="AK64" s="714"/>
      <c r="AL64" s="715"/>
    </row>
    <row r="65" spans="1:38" s="336" customFormat="1" ht="15" customHeight="1">
      <c r="A65" s="821" t="s">
        <v>109</v>
      </c>
      <c r="B65" s="822"/>
      <c r="C65" s="823"/>
      <c r="D65" s="810" t="s">
        <v>121</v>
      </c>
      <c r="E65" s="761"/>
      <c r="F65" s="761"/>
      <c r="G65" s="761"/>
      <c r="H65" s="761"/>
      <c r="I65" s="761"/>
      <c r="J65" s="761"/>
      <c r="K65" s="761"/>
      <c r="L65" s="824" t="s">
        <v>116</v>
      </c>
      <c r="M65" s="825"/>
      <c r="N65" s="825"/>
      <c r="O65" s="825"/>
      <c r="P65" s="825"/>
      <c r="Q65" s="825"/>
      <c r="R65" s="825"/>
      <c r="S65" s="825"/>
      <c r="T65" s="825"/>
      <c r="U65" s="825"/>
      <c r="V65" s="825"/>
      <c r="W65" s="825"/>
      <c r="X65" s="825"/>
      <c r="Y65" s="825"/>
      <c r="Z65" s="825"/>
      <c r="AA65" s="825"/>
      <c r="AB65" s="825"/>
      <c r="AC65" s="825"/>
      <c r="AD65" s="825"/>
      <c r="AE65" s="826"/>
      <c r="AF65" s="856" t="s">
        <v>112</v>
      </c>
      <c r="AG65" s="856"/>
      <c r="AH65" s="856"/>
      <c r="AI65" s="856"/>
      <c r="AJ65" s="857"/>
      <c r="AK65" s="714"/>
      <c r="AL65" s="715"/>
    </row>
    <row r="66" spans="1:38" s="336" customFormat="1" ht="15" customHeight="1">
      <c r="A66" s="821" t="s">
        <v>109</v>
      </c>
      <c r="B66" s="822"/>
      <c r="C66" s="823"/>
      <c r="D66" s="810" t="s">
        <v>122</v>
      </c>
      <c r="E66" s="761"/>
      <c r="F66" s="761"/>
      <c r="G66" s="761"/>
      <c r="H66" s="761"/>
      <c r="I66" s="761"/>
      <c r="J66" s="761"/>
      <c r="K66" s="761"/>
      <c r="L66" s="824" t="s">
        <v>116</v>
      </c>
      <c r="M66" s="825"/>
      <c r="N66" s="825"/>
      <c r="O66" s="825"/>
      <c r="P66" s="825"/>
      <c r="Q66" s="825"/>
      <c r="R66" s="825"/>
      <c r="S66" s="825"/>
      <c r="T66" s="825"/>
      <c r="U66" s="825"/>
      <c r="V66" s="825"/>
      <c r="W66" s="825"/>
      <c r="X66" s="825"/>
      <c r="Y66" s="825"/>
      <c r="Z66" s="825"/>
      <c r="AA66" s="825"/>
      <c r="AB66" s="825"/>
      <c r="AC66" s="825"/>
      <c r="AD66" s="825"/>
      <c r="AE66" s="826"/>
      <c r="AF66" s="856" t="s">
        <v>112</v>
      </c>
      <c r="AG66" s="856"/>
      <c r="AH66" s="856"/>
      <c r="AI66" s="856"/>
      <c r="AJ66" s="857"/>
      <c r="AK66" s="714"/>
      <c r="AL66" s="715"/>
    </row>
    <row r="67" spans="1:38" s="336" customFormat="1" ht="15" customHeight="1">
      <c r="A67" s="821" t="s">
        <v>109</v>
      </c>
      <c r="B67" s="822"/>
      <c r="C67" s="823"/>
      <c r="D67" s="810" t="s">
        <v>123</v>
      </c>
      <c r="E67" s="761"/>
      <c r="F67" s="761"/>
      <c r="G67" s="761"/>
      <c r="H67" s="761"/>
      <c r="I67" s="761"/>
      <c r="J67" s="761"/>
      <c r="K67" s="761"/>
      <c r="L67" s="824" t="s">
        <v>116</v>
      </c>
      <c r="M67" s="825"/>
      <c r="N67" s="825"/>
      <c r="O67" s="825"/>
      <c r="P67" s="825"/>
      <c r="Q67" s="825"/>
      <c r="R67" s="825"/>
      <c r="S67" s="825"/>
      <c r="T67" s="825"/>
      <c r="U67" s="825"/>
      <c r="V67" s="825"/>
      <c r="W67" s="825"/>
      <c r="X67" s="825"/>
      <c r="Y67" s="825"/>
      <c r="Z67" s="825"/>
      <c r="AA67" s="825"/>
      <c r="AB67" s="825"/>
      <c r="AC67" s="825"/>
      <c r="AD67" s="825"/>
      <c r="AE67" s="826"/>
      <c r="AF67" s="856" t="s">
        <v>112</v>
      </c>
      <c r="AG67" s="856"/>
      <c r="AH67" s="856"/>
      <c r="AI67" s="856"/>
      <c r="AJ67" s="857"/>
      <c r="AK67" s="714"/>
      <c r="AL67" s="715"/>
    </row>
    <row r="68" spans="1:38" s="336" customFormat="1" ht="15" customHeight="1">
      <c r="A68" s="821" t="s">
        <v>109</v>
      </c>
      <c r="B68" s="822"/>
      <c r="C68" s="823"/>
      <c r="D68" s="810" t="s">
        <v>124</v>
      </c>
      <c r="E68" s="761"/>
      <c r="F68" s="761"/>
      <c r="G68" s="761"/>
      <c r="H68" s="761"/>
      <c r="I68" s="761"/>
      <c r="J68" s="761"/>
      <c r="K68" s="761"/>
      <c r="L68" s="824" t="s">
        <v>116</v>
      </c>
      <c r="M68" s="825"/>
      <c r="N68" s="825"/>
      <c r="O68" s="825"/>
      <c r="P68" s="825"/>
      <c r="Q68" s="825"/>
      <c r="R68" s="825"/>
      <c r="S68" s="825"/>
      <c r="T68" s="825"/>
      <c r="U68" s="825"/>
      <c r="V68" s="825"/>
      <c r="W68" s="825"/>
      <c r="X68" s="825"/>
      <c r="Y68" s="825"/>
      <c r="Z68" s="825"/>
      <c r="AA68" s="825"/>
      <c r="AB68" s="825"/>
      <c r="AC68" s="825"/>
      <c r="AD68" s="825"/>
      <c r="AE68" s="826"/>
      <c r="AF68" s="856" t="s">
        <v>112</v>
      </c>
      <c r="AG68" s="856"/>
      <c r="AH68" s="856"/>
      <c r="AI68" s="856"/>
      <c r="AJ68" s="857"/>
      <c r="AK68" s="714"/>
      <c r="AL68" s="715"/>
    </row>
    <row r="69" spans="1:38" s="336" customFormat="1" ht="15" customHeight="1">
      <c r="A69" s="821" t="s">
        <v>109</v>
      </c>
      <c r="B69" s="822"/>
      <c r="C69" s="823"/>
      <c r="D69" s="810" t="s">
        <v>125</v>
      </c>
      <c r="E69" s="761"/>
      <c r="F69" s="761"/>
      <c r="G69" s="761"/>
      <c r="H69" s="761"/>
      <c r="I69" s="761"/>
      <c r="J69" s="761"/>
      <c r="K69" s="761"/>
      <c r="L69" s="824" t="s">
        <v>126</v>
      </c>
      <c r="M69" s="825"/>
      <c r="N69" s="825"/>
      <c r="O69" s="825"/>
      <c r="P69" s="825"/>
      <c r="Q69" s="825"/>
      <c r="R69" s="825"/>
      <c r="S69" s="825"/>
      <c r="T69" s="825"/>
      <c r="U69" s="825"/>
      <c r="V69" s="825"/>
      <c r="W69" s="825"/>
      <c r="X69" s="825"/>
      <c r="Y69" s="825"/>
      <c r="Z69" s="825"/>
      <c r="AA69" s="825"/>
      <c r="AB69" s="825"/>
      <c r="AC69" s="825"/>
      <c r="AD69" s="825"/>
      <c r="AE69" s="826"/>
      <c r="AF69" s="856" t="s">
        <v>112</v>
      </c>
      <c r="AG69" s="856"/>
      <c r="AH69" s="856"/>
      <c r="AI69" s="856"/>
      <c r="AJ69" s="857"/>
      <c r="AK69" s="714"/>
      <c r="AL69" s="715"/>
    </row>
    <row r="70" spans="1:38" s="336" customFormat="1" ht="15" customHeight="1">
      <c r="A70" s="821" t="s">
        <v>109</v>
      </c>
      <c r="B70" s="822"/>
      <c r="C70" s="823"/>
      <c r="D70" s="810" t="s">
        <v>127</v>
      </c>
      <c r="E70" s="761"/>
      <c r="F70" s="761"/>
      <c r="G70" s="761"/>
      <c r="H70" s="761"/>
      <c r="I70" s="761"/>
      <c r="J70" s="761"/>
      <c r="K70" s="761"/>
      <c r="L70" s="824" t="s">
        <v>128</v>
      </c>
      <c r="M70" s="825"/>
      <c r="N70" s="825"/>
      <c r="O70" s="825"/>
      <c r="P70" s="825"/>
      <c r="Q70" s="825"/>
      <c r="R70" s="825"/>
      <c r="S70" s="825"/>
      <c r="T70" s="825"/>
      <c r="U70" s="825"/>
      <c r="V70" s="825"/>
      <c r="W70" s="825"/>
      <c r="X70" s="825"/>
      <c r="Y70" s="825"/>
      <c r="Z70" s="825"/>
      <c r="AA70" s="825"/>
      <c r="AB70" s="825"/>
      <c r="AC70" s="825"/>
      <c r="AD70" s="825"/>
      <c r="AE70" s="826"/>
      <c r="AF70" s="856" t="s">
        <v>112</v>
      </c>
      <c r="AG70" s="856"/>
      <c r="AH70" s="856"/>
      <c r="AI70" s="856"/>
      <c r="AJ70" s="857"/>
      <c r="AK70" s="714"/>
      <c r="AL70" s="715"/>
    </row>
    <row r="71" spans="1:38" s="335" customFormat="1" ht="15" customHeight="1">
      <c r="A71" s="850" t="s">
        <v>129</v>
      </c>
      <c r="B71" s="851"/>
      <c r="C71" s="851"/>
      <c r="D71" s="851"/>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2"/>
    </row>
    <row r="72" spans="1:38" s="335" customFormat="1" ht="15" customHeight="1">
      <c r="A72" s="830" t="s">
        <v>99</v>
      </c>
      <c r="B72" s="831"/>
      <c r="C72" s="832"/>
      <c r="D72" s="838"/>
      <c r="E72" s="839"/>
      <c r="F72" s="839"/>
      <c r="G72" s="839"/>
      <c r="H72" s="839"/>
      <c r="I72" s="839"/>
      <c r="J72" s="839"/>
      <c r="K72" s="839"/>
      <c r="L72" s="839"/>
      <c r="M72" s="839"/>
      <c r="N72" s="839"/>
      <c r="O72" s="839"/>
      <c r="P72" s="839"/>
      <c r="Q72" s="839"/>
      <c r="R72" s="839"/>
      <c r="S72" s="839"/>
      <c r="T72" s="839"/>
      <c r="U72" s="839"/>
      <c r="V72" s="839"/>
      <c r="W72" s="839"/>
      <c r="X72" s="839"/>
      <c r="Y72" s="839"/>
      <c r="Z72" s="840"/>
      <c r="AA72" s="783" t="s">
        <v>100</v>
      </c>
      <c r="AB72" s="784"/>
      <c r="AC72" s="784"/>
      <c r="AD72" s="858"/>
      <c r="AE72" s="838"/>
      <c r="AF72" s="839"/>
      <c r="AG72" s="839"/>
      <c r="AH72" s="839"/>
      <c r="AI72" s="839"/>
      <c r="AJ72" s="839"/>
      <c r="AK72" s="839"/>
      <c r="AL72" s="859"/>
    </row>
    <row r="73" spans="1:38" s="335" customFormat="1" ht="15" customHeight="1">
      <c r="A73" s="778" t="s">
        <v>101</v>
      </c>
      <c r="B73" s="779"/>
      <c r="C73" s="785"/>
      <c r="D73" s="786"/>
      <c r="E73" s="786"/>
      <c r="F73" s="786"/>
      <c r="G73" s="786"/>
      <c r="H73" s="786"/>
      <c r="I73" s="786"/>
      <c r="J73" s="786"/>
      <c r="K73" s="786"/>
      <c r="L73" s="786"/>
      <c r="M73" s="786"/>
      <c r="N73" s="786"/>
      <c r="O73" s="786"/>
      <c r="P73" s="786"/>
      <c r="Q73" s="786"/>
      <c r="R73" s="786"/>
      <c r="S73" s="786"/>
      <c r="T73" s="786"/>
      <c r="U73" s="787"/>
      <c r="V73" s="382" t="s">
        <v>102</v>
      </c>
      <c r="W73" s="788"/>
      <c r="X73" s="789"/>
      <c r="Y73" s="789"/>
      <c r="Z73" s="789"/>
      <c r="AA73" s="789"/>
      <c r="AB73" s="790"/>
      <c r="AC73" s="791" t="s">
        <v>58</v>
      </c>
      <c r="AD73" s="837"/>
      <c r="AE73" s="838"/>
      <c r="AF73" s="839"/>
      <c r="AG73" s="840"/>
      <c r="AH73" s="383" t="s">
        <v>59</v>
      </c>
      <c r="AI73" s="841"/>
      <c r="AJ73" s="841"/>
      <c r="AK73" s="841"/>
      <c r="AL73" s="842"/>
    </row>
    <row r="74" spans="1:38" s="335" customFormat="1" ht="15" customHeight="1">
      <c r="A74" s="843" t="s">
        <v>104</v>
      </c>
      <c r="B74" s="844"/>
      <c r="C74" s="844"/>
      <c r="D74" s="880"/>
      <c r="E74" s="881"/>
      <c r="F74" s="881"/>
      <c r="G74" s="881"/>
      <c r="H74" s="881"/>
      <c r="I74" s="881"/>
      <c r="J74" s="881"/>
      <c r="K74" s="881"/>
      <c r="L74" s="881"/>
      <c r="M74" s="497" t="s">
        <v>105</v>
      </c>
      <c r="N74" s="882"/>
      <c r="O74" s="883"/>
      <c r="P74" s="883"/>
      <c r="Q74" s="883"/>
      <c r="R74" s="883"/>
      <c r="S74" s="883"/>
      <c r="T74" s="883"/>
      <c r="U74" s="884"/>
      <c r="V74" s="783" t="s">
        <v>106</v>
      </c>
      <c r="W74" s="858"/>
      <c r="X74" s="860"/>
      <c r="Y74" s="861"/>
      <c r="Z74" s="861"/>
      <c r="AA74" s="861"/>
      <c r="AB74" s="861"/>
      <c r="AC74" s="861"/>
      <c r="AD74" s="861"/>
      <c r="AE74" s="861"/>
      <c r="AF74" s="861"/>
      <c r="AG74" s="783" t="s">
        <v>107</v>
      </c>
      <c r="AH74" s="858"/>
      <c r="AI74" s="845"/>
      <c r="AJ74" s="846"/>
      <c r="AK74" s="846"/>
      <c r="AL74" s="847"/>
    </row>
    <row r="75" spans="1:38" s="335" customFormat="1" ht="15" customHeight="1">
      <c r="A75" s="843" t="s">
        <v>108</v>
      </c>
      <c r="B75" s="844"/>
      <c r="C75" s="844"/>
      <c r="D75" s="853"/>
      <c r="E75" s="854"/>
      <c r="F75" s="854"/>
      <c r="G75" s="854"/>
      <c r="H75" s="854"/>
      <c r="I75" s="854"/>
      <c r="J75" s="854"/>
      <c r="K75" s="854"/>
      <c r="L75" s="855"/>
      <c r="M75" s="526" t="s">
        <v>105</v>
      </c>
      <c r="N75" s="838"/>
      <c r="O75" s="839"/>
      <c r="P75" s="839"/>
      <c r="Q75" s="839"/>
      <c r="R75" s="839"/>
      <c r="S75" s="839"/>
      <c r="T75" s="839"/>
      <c r="U75" s="840"/>
      <c r="V75" s="783" t="s">
        <v>106</v>
      </c>
      <c r="W75" s="784"/>
      <c r="X75" s="788"/>
      <c r="Y75" s="789"/>
      <c r="Z75" s="789"/>
      <c r="AA75" s="789"/>
      <c r="AB75" s="789"/>
      <c r="AC75" s="789"/>
      <c r="AD75" s="789"/>
      <c r="AE75" s="789"/>
      <c r="AF75" s="790"/>
      <c r="AG75" s="784" t="s">
        <v>107</v>
      </c>
      <c r="AH75" s="784"/>
      <c r="AI75" s="845"/>
      <c r="AJ75" s="846"/>
      <c r="AK75" s="846"/>
      <c r="AL75" s="847"/>
    </row>
    <row r="76" spans="1:38" s="335" customFormat="1" ht="15" customHeight="1">
      <c r="A76" s="778" t="s">
        <v>101</v>
      </c>
      <c r="B76" s="779"/>
      <c r="C76" s="785"/>
      <c r="D76" s="786"/>
      <c r="E76" s="786"/>
      <c r="F76" s="786"/>
      <c r="G76" s="786"/>
      <c r="H76" s="786"/>
      <c r="I76" s="786"/>
      <c r="J76" s="786"/>
      <c r="K76" s="786"/>
      <c r="L76" s="786"/>
      <c r="M76" s="786"/>
      <c r="N76" s="786"/>
      <c r="O76" s="786"/>
      <c r="P76" s="786"/>
      <c r="Q76" s="786"/>
      <c r="R76" s="786"/>
      <c r="S76" s="786"/>
      <c r="T76" s="786"/>
      <c r="U76" s="787"/>
      <c r="V76" s="383" t="s">
        <v>102</v>
      </c>
      <c r="W76" s="788"/>
      <c r="X76" s="862"/>
      <c r="Y76" s="862"/>
      <c r="Z76" s="862"/>
      <c r="AA76" s="862"/>
      <c r="AB76" s="863"/>
      <c r="AC76" s="864" t="s">
        <v>58</v>
      </c>
      <c r="AD76" s="865"/>
      <c r="AE76" s="866"/>
      <c r="AF76" s="867"/>
      <c r="AG76" s="840"/>
      <c r="AH76" s="383" t="s">
        <v>59</v>
      </c>
      <c r="AI76" s="841"/>
      <c r="AJ76" s="841"/>
      <c r="AK76" s="841"/>
      <c r="AL76" s="842"/>
    </row>
    <row r="77" spans="1:38" s="336" customFormat="1" ht="15" customHeight="1">
      <c r="A77" s="821" t="s">
        <v>109</v>
      </c>
      <c r="B77" s="822"/>
      <c r="C77" s="823"/>
      <c r="D77" s="810" t="s">
        <v>130</v>
      </c>
      <c r="E77" s="761"/>
      <c r="F77" s="761"/>
      <c r="G77" s="761"/>
      <c r="H77" s="761"/>
      <c r="I77" s="761"/>
      <c r="J77" s="761"/>
      <c r="K77" s="761"/>
      <c r="L77" s="824" t="s">
        <v>111</v>
      </c>
      <c r="M77" s="825"/>
      <c r="N77" s="825"/>
      <c r="O77" s="825"/>
      <c r="P77" s="825"/>
      <c r="Q77" s="825"/>
      <c r="R77" s="825"/>
      <c r="S77" s="825"/>
      <c r="T77" s="825"/>
      <c r="U77" s="825"/>
      <c r="V77" s="825"/>
      <c r="W77" s="825"/>
      <c r="X77" s="825"/>
      <c r="Y77" s="825"/>
      <c r="Z77" s="825"/>
      <c r="AA77" s="825"/>
      <c r="AB77" s="825"/>
      <c r="AC77" s="825"/>
      <c r="AD77" s="825"/>
      <c r="AE77" s="826"/>
      <c r="AF77" s="856" t="s">
        <v>112</v>
      </c>
      <c r="AG77" s="856"/>
      <c r="AH77" s="856"/>
      <c r="AI77" s="856"/>
      <c r="AJ77" s="857"/>
      <c r="AK77" s="714"/>
      <c r="AL77" s="715"/>
    </row>
    <row r="78" spans="1:38" s="336" customFormat="1" ht="15" customHeight="1">
      <c r="A78" s="821" t="s">
        <v>109</v>
      </c>
      <c r="B78" s="822"/>
      <c r="C78" s="823"/>
      <c r="D78" s="810" t="s">
        <v>131</v>
      </c>
      <c r="E78" s="761"/>
      <c r="F78" s="761"/>
      <c r="G78" s="761"/>
      <c r="H78" s="761"/>
      <c r="I78" s="761"/>
      <c r="J78" s="761"/>
      <c r="K78" s="761"/>
      <c r="L78" s="824" t="s">
        <v>114</v>
      </c>
      <c r="M78" s="825"/>
      <c r="N78" s="825"/>
      <c r="O78" s="825"/>
      <c r="P78" s="825"/>
      <c r="Q78" s="825"/>
      <c r="R78" s="825"/>
      <c r="S78" s="825"/>
      <c r="T78" s="825"/>
      <c r="U78" s="825"/>
      <c r="V78" s="825"/>
      <c r="W78" s="825"/>
      <c r="X78" s="825"/>
      <c r="Y78" s="825"/>
      <c r="Z78" s="825"/>
      <c r="AA78" s="825"/>
      <c r="AB78" s="825"/>
      <c r="AC78" s="825"/>
      <c r="AD78" s="825"/>
      <c r="AE78" s="826"/>
      <c r="AF78" s="856" t="s">
        <v>112</v>
      </c>
      <c r="AG78" s="856"/>
      <c r="AH78" s="856"/>
      <c r="AI78" s="856"/>
      <c r="AJ78" s="857"/>
      <c r="AK78" s="714"/>
      <c r="AL78" s="715"/>
    </row>
    <row r="79" spans="1:38" s="336" customFormat="1" ht="15" customHeight="1">
      <c r="A79" s="821" t="s">
        <v>109</v>
      </c>
      <c r="B79" s="822"/>
      <c r="C79" s="823"/>
      <c r="D79" s="810" t="s">
        <v>132</v>
      </c>
      <c r="E79" s="761"/>
      <c r="F79" s="761"/>
      <c r="G79" s="761"/>
      <c r="H79" s="761"/>
      <c r="I79" s="761"/>
      <c r="J79" s="761"/>
      <c r="K79" s="761"/>
      <c r="L79" s="824" t="s">
        <v>116</v>
      </c>
      <c r="M79" s="825"/>
      <c r="N79" s="825"/>
      <c r="O79" s="825"/>
      <c r="P79" s="825"/>
      <c r="Q79" s="825"/>
      <c r="R79" s="825"/>
      <c r="S79" s="825"/>
      <c r="T79" s="825"/>
      <c r="U79" s="825"/>
      <c r="V79" s="825"/>
      <c r="W79" s="825"/>
      <c r="X79" s="825"/>
      <c r="Y79" s="825"/>
      <c r="Z79" s="825"/>
      <c r="AA79" s="825"/>
      <c r="AB79" s="825"/>
      <c r="AC79" s="825"/>
      <c r="AD79" s="825"/>
      <c r="AE79" s="826"/>
      <c r="AF79" s="856" t="s">
        <v>112</v>
      </c>
      <c r="AG79" s="856"/>
      <c r="AH79" s="856"/>
      <c r="AI79" s="856"/>
      <c r="AJ79" s="857"/>
      <c r="AK79" s="714"/>
      <c r="AL79" s="715"/>
    </row>
    <row r="80" spans="1:38" s="336" customFormat="1" ht="15" customHeight="1">
      <c r="A80" s="821" t="s">
        <v>109</v>
      </c>
      <c r="B80" s="822"/>
      <c r="C80" s="823"/>
      <c r="D80" s="810" t="s">
        <v>133</v>
      </c>
      <c r="E80" s="761"/>
      <c r="F80" s="761"/>
      <c r="G80" s="761"/>
      <c r="H80" s="761"/>
      <c r="I80" s="761"/>
      <c r="J80" s="761"/>
      <c r="K80" s="761"/>
      <c r="L80" s="824" t="s">
        <v>116</v>
      </c>
      <c r="M80" s="825"/>
      <c r="N80" s="825"/>
      <c r="O80" s="825"/>
      <c r="P80" s="825"/>
      <c r="Q80" s="825"/>
      <c r="R80" s="825"/>
      <c r="S80" s="825"/>
      <c r="T80" s="825"/>
      <c r="U80" s="825"/>
      <c r="V80" s="825"/>
      <c r="W80" s="825"/>
      <c r="X80" s="825"/>
      <c r="Y80" s="825"/>
      <c r="Z80" s="825"/>
      <c r="AA80" s="825"/>
      <c r="AB80" s="825"/>
      <c r="AC80" s="825"/>
      <c r="AD80" s="825"/>
      <c r="AE80" s="826"/>
      <c r="AF80" s="856" t="s">
        <v>112</v>
      </c>
      <c r="AG80" s="856"/>
      <c r="AH80" s="856"/>
      <c r="AI80" s="856"/>
      <c r="AJ80" s="857"/>
      <c r="AK80" s="714"/>
      <c r="AL80" s="715"/>
    </row>
    <row r="81" spans="1:38" s="336" customFormat="1" ht="15" customHeight="1">
      <c r="A81" s="821" t="s">
        <v>109</v>
      </c>
      <c r="B81" s="822"/>
      <c r="C81" s="823"/>
      <c r="D81" s="810" t="s">
        <v>134</v>
      </c>
      <c r="E81" s="761"/>
      <c r="F81" s="761"/>
      <c r="G81" s="761"/>
      <c r="H81" s="761"/>
      <c r="I81" s="761"/>
      <c r="J81" s="761"/>
      <c r="K81" s="761"/>
      <c r="L81" s="824" t="s">
        <v>116</v>
      </c>
      <c r="M81" s="825"/>
      <c r="N81" s="825"/>
      <c r="O81" s="825"/>
      <c r="P81" s="825"/>
      <c r="Q81" s="825"/>
      <c r="R81" s="825"/>
      <c r="S81" s="825"/>
      <c r="T81" s="825"/>
      <c r="U81" s="825"/>
      <c r="V81" s="825"/>
      <c r="W81" s="825"/>
      <c r="X81" s="825"/>
      <c r="Y81" s="825"/>
      <c r="Z81" s="825"/>
      <c r="AA81" s="825"/>
      <c r="AB81" s="825"/>
      <c r="AC81" s="825"/>
      <c r="AD81" s="825"/>
      <c r="AE81" s="826"/>
      <c r="AF81" s="856" t="s">
        <v>112</v>
      </c>
      <c r="AG81" s="856"/>
      <c r="AH81" s="856"/>
      <c r="AI81" s="856"/>
      <c r="AJ81" s="857"/>
      <c r="AK81" s="714"/>
      <c r="AL81" s="715"/>
    </row>
    <row r="82" spans="1:38" s="336" customFormat="1" ht="15" customHeight="1">
      <c r="A82" s="821" t="s">
        <v>109</v>
      </c>
      <c r="B82" s="822"/>
      <c r="C82" s="823"/>
      <c r="D82" s="810" t="s">
        <v>135</v>
      </c>
      <c r="E82" s="761"/>
      <c r="F82" s="761"/>
      <c r="G82" s="761"/>
      <c r="H82" s="761"/>
      <c r="I82" s="761"/>
      <c r="J82" s="761"/>
      <c r="K82" s="761"/>
      <c r="L82" s="824" t="s">
        <v>116</v>
      </c>
      <c r="M82" s="825"/>
      <c r="N82" s="825"/>
      <c r="O82" s="825"/>
      <c r="P82" s="825"/>
      <c r="Q82" s="825"/>
      <c r="R82" s="825"/>
      <c r="S82" s="825"/>
      <c r="T82" s="825"/>
      <c r="U82" s="825"/>
      <c r="V82" s="825"/>
      <c r="W82" s="825"/>
      <c r="X82" s="825"/>
      <c r="Y82" s="825"/>
      <c r="Z82" s="825"/>
      <c r="AA82" s="825"/>
      <c r="AB82" s="825"/>
      <c r="AC82" s="825"/>
      <c r="AD82" s="825"/>
      <c r="AE82" s="826"/>
      <c r="AF82" s="856" t="s">
        <v>112</v>
      </c>
      <c r="AG82" s="856"/>
      <c r="AH82" s="856"/>
      <c r="AI82" s="856"/>
      <c r="AJ82" s="857"/>
      <c r="AK82" s="714"/>
      <c r="AL82" s="715"/>
    </row>
    <row r="83" spans="1:38" s="336" customFormat="1" ht="15" customHeight="1">
      <c r="A83" s="821" t="s">
        <v>109</v>
      </c>
      <c r="B83" s="822"/>
      <c r="C83" s="823"/>
      <c r="D83" s="810" t="s">
        <v>136</v>
      </c>
      <c r="E83" s="761"/>
      <c r="F83" s="761"/>
      <c r="G83" s="761"/>
      <c r="H83" s="761"/>
      <c r="I83" s="761"/>
      <c r="J83" s="761"/>
      <c r="K83" s="761"/>
      <c r="L83" s="824" t="s">
        <v>116</v>
      </c>
      <c r="M83" s="825"/>
      <c r="N83" s="825"/>
      <c r="O83" s="825"/>
      <c r="P83" s="825"/>
      <c r="Q83" s="825"/>
      <c r="R83" s="825"/>
      <c r="S83" s="825"/>
      <c r="T83" s="825"/>
      <c r="U83" s="825"/>
      <c r="V83" s="825"/>
      <c r="W83" s="825"/>
      <c r="X83" s="825"/>
      <c r="Y83" s="825"/>
      <c r="Z83" s="825"/>
      <c r="AA83" s="825"/>
      <c r="AB83" s="825"/>
      <c r="AC83" s="825"/>
      <c r="AD83" s="825"/>
      <c r="AE83" s="826"/>
      <c r="AF83" s="856" t="s">
        <v>112</v>
      </c>
      <c r="AG83" s="856"/>
      <c r="AH83" s="856"/>
      <c r="AI83" s="856"/>
      <c r="AJ83" s="857"/>
      <c r="AK83" s="714"/>
      <c r="AL83" s="715"/>
    </row>
    <row r="84" spans="1:38" s="336" customFormat="1" ht="15" customHeight="1">
      <c r="A84" s="821" t="s">
        <v>109</v>
      </c>
      <c r="B84" s="822"/>
      <c r="C84" s="823"/>
      <c r="D84" s="810" t="s">
        <v>137</v>
      </c>
      <c r="E84" s="761"/>
      <c r="F84" s="761"/>
      <c r="G84" s="761"/>
      <c r="H84" s="761"/>
      <c r="I84" s="761"/>
      <c r="J84" s="761"/>
      <c r="K84" s="761"/>
      <c r="L84" s="824" t="s">
        <v>126</v>
      </c>
      <c r="M84" s="825"/>
      <c r="N84" s="825"/>
      <c r="O84" s="825"/>
      <c r="P84" s="825"/>
      <c r="Q84" s="825"/>
      <c r="R84" s="825"/>
      <c r="S84" s="825"/>
      <c r="T84" s="825"/>
      <c r="U84" s="825"/>
      <c r="V84" s="825"/>
      <c r="W84" s="825"/>
      <c r="X84" s="825"/>
      <c r="Y84" s="825"/>
      <c r="Z84" s="825"/>
      <c r="AA84" s="825"/>
      <c r="AB84" s="825"/>
      <c r="AC84" s="825"/>
      <c r="AD84" s="825"/>
      <c r="AE84" s="826"/>
      <c r="AF84" s="856" t="s">
        <v>112</v>
      </c>
      <c r="AG84" s="856"/>
      <c r="AH84" s="856"/>
      <c r="AI84" s="856"/>
      <c r="AJ84" s="857"/>
      <c r="AK84" s="714"/>
      <c r="AL84" s="715"/>
    </row>
    <row r="85" spans="1:38" s="336" customFormat="1" ht="15" customHeight="1">
      <c r="A85" s="821" t="s">
        <v>109</v>
      </c>
      <c r="B85" s="822"/>
      <c r="C85" s="823"/>
      <c r="D85" s="810" t="s">
        <v>138</v>
      </c>
      <c r="E85" s="761"/>
      <c r="F85" s="761"/>
      <c r="G85" s="761"/>
      <c r="H85" s="761"/>
      <c r="I85" s="761"/>
      <c r="J85" s="761"/>
      <c r="K85" s="761"/>
      <c r="L85" s="824" t="s">
        <v>139</v>
      </c>
      <c r="M85" s="825"/>
      <c r="N85" s="825"/>
      <c r="O85" s="825"/>
      <c r="P85" s="825"/>
      <c r="Q85" s="825"/>
      <c r="R85" s="825"/>
      <c r="S85" s="825"/>
      <c r="T85" s="825"/>
      <c r="U85" s="825"/>
      <c r="V85" s="825"/>
      <c r="W85" s="825"/>
      <c r="X85" s="825"/>
      <c r="Y85" s="825"/>
      <c r="Z85" s="825"/>
      <c r="AA85" s="825"/>
      <c r="AB85" s="825"/>
      <c r="AC85" s="825"/>
      <c r="AD85" s="825"/>
      <c r="AE85" s="826"/>
      <c r="AF85" s="856" t="s">
        <v>112</v>
      </c>
      <c r="AG85" s="856"/>
      <c r="AH85" s="856"/>
      <c r="AI85" s="856"/>
      <c r="AJ85" s="857"/>
      <c r="AK85" s="714"/>
      <c r="AL85" s="715"/>
    </row>
    <row r="86" spans="1:38" s="337" customFormat="1" ht="18" customHeight="1">
      <c r="A86" s="874" t="s">
        <v>140</v>
      </c>
      <c r="B86" s="875"/>
      <c r="C86" s="875"/>
      <c r="D86" s="875"/>
      <c r="E86" s="875"/>
      <c r="F86" s="875"/>
      <c r="G86" s="875"/>
      <c r="H86" s="875"/>
      <c r="I86" s="875"/>
      <c r="J86" s="875"/>
      <c r="K86" s="875"/>
      <c r="L86" s="875"/>
      <c r="M86" s="875"/>
      <c r="N86" s="875"/>
      <c r="O86" s="875"/>
      <c r="P86" s="875"/>
      <c r="Q86" s="875"/>
      <c r="R86" s="875"/>
      <c r="S86" s="875"/>
      <c r="T86" s="875"/>
      <c r="U86" s="875"/>
      <c r="V86" s="875"/>
      <c r="W86" s="875"/>
      <c r="X86" s="875"/>
      <c r="Y86" s="875"/>
      <c r="Z86" s="875"/>
      <c r="AA86" s="875"/>
      <c r="AB86" s="875"/>
      <c r="AC86" s="875"/>
      <c r="AD86" s="875"/>
      <c r="AE86" s="875"/>
      <c r="AF86" s="875"/>
      <c r="AG86" s="875"/>
      <c r="AH86" s="875"/>
      <c r="AI86" s="875"/>
      <c r="AJ86" s="875"/>
      <c r="AK86" s="875"/>
      <c r="AL86" s="876"/>
    </row>
    <row r="87" spans="1:38" s="22" customFormat="1" ht="15" customHeight="1">
      <c r="A87" s="869" t="s">
        <v>141</v>
      </c>
      <c r="B87" s="870"/>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1"/>
    </row>
    <row r="88" spans="1:38" s="22" customFormat="1" ht="15" customHeight="1">
      <c r="A88" s="776" t="s">
        <v>142</v>
      </c>
      <c r="B88" s="777"/>
      <c r="C88" s="777"/>
      <c r="D88" s="749"/>
      <c r="E88" s="749"/>
      <c r="F88" s="749"/>
      <c r="G88" s="749"/>
      <c r="H88" s="749"/>
      <c r="I88" s="749"/>
      <c r="J88" s="749"/>
      <c r="K88" s="749"/>
      <c r="L88" s="749"/>
      <c r="M88" s="749"/>
      <c r="N88" s="749"/>
      <c r="O88" s="749"/>
      <c r="P88" s="765" t="s">
        <v>143</v>
      </c>
      <c r="Q88" s="765"/>
      <c r="R88" s="765"/>
      <c r="S88" s="765"/>
      <c r="T88" s="766"/>
      <c r="U88" s="766"/>
      <c r="V88" s="766"/>
      <c r="W88" s="766"/>
      <c r="X88" s="766"/>
      <c r="Y88" s="766"/>
      <c r="Z88" s="766"/>
      <c r="AA88" s="766"/>
      <c r="AB88" s="767" t="s">
        <v>106</v>
      </c>
      <c r="AC88" s="767"/>
      <c r="AD88" s="767"/>
      <c r="AE88" s="749"/>
      <c r="AF88" s="749"/>
      <c r="AG88" s="749"/>
      <c r="AH88" s="749"/>
      <c r="AI88" s="749"/>
      <c r="AJ88" s="749"/>
      <c r="AK88" s="749"/>
      <c r="AL88" s="775"/>
    </row>
    <row r="89" spans="1:38" s="22" customFormat="1" ht="15" customHeight="1">
      <c r="A89" s="776" t="s">
        <v>107</v>
      </c>
      <c r="B89" s="777"/>
      <c r="C89" s="780"/>
      <c r="D89" s="781"/>
      <c r="E89" s="781"/>
      <c r="F89" s="781"/>
      <c r="G89" s="782"/>
      <c r="H89" s="767" t="s">
        <v>101</v>
      </c>
      <c r="I89" s="767"/>
      <c r="J89" s="872"/>
      <c r="K89" s="872"/>
      <c r="L89" s="872"/>
      <c r="M89" s="872"/>
      <c r="N89" s="872"/>
      <c r="O89" s="872"/>
      <c r="P89" s="872"/>
      <c r="Q89" s="872"/>
      <c r="R89" s="872"/>
      <c r="S89" s="872"/>
      <c r="T89" s="872"/>
      <c r="U89" s="872"/>
      <c r="V89" s="510" t="s">
        <v>102</v>
      </c>
      <c r="W89" s="873"/>
      <c r="X89" s="873"/>
      <c r="Y89" s="873"/>
      <c r="Z89" s="873"/>
      <c r="AA89" s="873"/>
      <c r="AB89" s="873"/>
      <c r="AC89" s="873"/>
      <c r="AD89" s="726" t="s">
        <v>58</v>
      </c>
      <c r="AE89" s="726"/>
      <c r="AF89" s="749"/>
      <c r="AG89" s="749"/>
      <c r="AH89" s="510" t="s">
        <v>59</v>
      </c>
      <c r="AI89" s="728"/>
      <c r="AJ89" s="728"/>
      <c r="AK89" s="728"/>
      <c r="AL89" s="729"/>
    </row>
    <row r="90" spans="1:38" s="22" customFormat="1" ht="15" customHeight="1">
      <c r="A90" s="869" t="s">
        <v>144</v>
      </c>
      <c r="B90" s="870"/>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1"/>
    </row>
    <row r="91" spans="1:38" s="22" customFormat="1" ht="15" customHeight="1">
      <c r="A91" s="776" t="s">
        <v>142</v>
      </c>
      <c r="B91" s="777"/>
      <c r="C91" s="777"/>
      <c r="D91" s="749"/>
      <c r="E91" s="749"/>
      <c r="F91" s="749"/>
      <c r="G91" s="749"/>
      <c r="H91" s="749"/>
      <c r="I91" s="749"/>
      <c r="J91" s="749"/>
      <c r="K91" s="749"/>
      <c r="L91" s="749"/>
      <c r="M91" s="749"/>
      <c r="N91" s="749"/>
      <c r="O91" s="749"/>
      <c r="P91" s="765" t="s">
        <v>143</v>
      </c>
      <c r="Q91" s="765"/>
      <c r="R91" s="765"/>
      <c r="S91" s="765"/>
      <c r="T91" s="766"/>
      <c r="U91" s="766"/>
      <c r="V91" s="766"/>
      <c r="W91" s="766"/>
      <c r="X91" s="766"/>
      <c r="Y91" s="766"/>
      <c r="Z91" s="766"/>
      <c r="AA91" s="766"/>
      <c r="AB91" s="767" t="s">
        <v>106</v>
      </c>
      <c r="AC91" s="767"/>
      <c r="AD91" s="767"/>
      <c r="AE91" s="749"/>
      <c r="AF91" s="749"/>
      <c r="AG91" s="749"/>
      <c r="AH91" s="749"/>
      <c r="AI91" s="749"/>
      <c r="AJ91" s="749"/>
      <c r="AK91" s="749"/>
      <c r="AL91" s="775"/>
    </row>
    <row r="92" spans="1:38" s="22" customFormat="1" ht="15" customHeight="1">
      <c r="A92" s="776" t="s">
        <v>107</v>
      </c>
      <c r="B92" s="777"/>
      <c r="C92" s="780"/>
      <c r="D92" s="781"/>
      <c r="E92" s="781"/>
      <c r="F92" s="781"/>
      <c r="G92" s="782"/>
      <c r="H92" s="767" t="s">
        <v>101</v>
      </c>
      <c r="I92" s="767"/>
      <c r="J92" s="872"/>
      <c r="K92" s="872"/>
      <c r="L92" s="872"/>
      <c r="M92" s="872"/>
      <c r="N92" s="872"/>
      <c r="O92" s="872"/>
      <c r="P92" s="872"/>
      <c r="Q92" s="872"/>
      <c r="R92" s="872"/>
      <c r="S92" s="872"/>
      <c r="T92" s="872"/>
      <c r="U92" s="872"/>
      <c r="V92" s="510" t="s">
        <v>102</v>
      </c>
      <c r="W92" s="873"/>
      <c r="X92" s="873"/>
      <c r="Y92" s="873"/>
      <c r="Z92" s="873"/>
      <c r="AA92" s="873"/>
      <c r="AB92" s="873"/>
      <c r="AC92" s="873"/>
      <c r="AD92" s="726" t="s">
        <v>58</v>
      </c>
      <c r="AE92" s="726"/>
      <c r="AF92" s="749"/>
      <c r="AG92" s="749"/>
      <c r="AH92" s="510" t="s">
        <v>59</v>
      </c>
      <c r="AI92" s="728"/>
      <c r="AJ92" s="728"/>
      <c r="AK92" s="728"/>
      <c r="AL92" s="729"/>
    </row>
    <row r="93" spans="1:38" s="22" customFormat="1" ht="15" customHeight="1">
      <c r="A93" s="869" t="s">
        <v>145</v>
      </c>
      <c r="B93" s="870"/>
      <c r="C93" s="870"/>
      <c r="D93" s="870"/>
      <c r="E93" s="870"/>
      <c r="F93" s="870"/>
      <c r="G93" s="870"/>
      <c r="H93" s="870"/>
      <c r="I93" s="870"/>
      <c r="J93" s="870"/>
      <c r="K93" s="870"/>
      <c r="L93" s="870"/>
      <c r="M93" s="870"/>
      <c r="N93" s="870"/>
      <c r="O93" s="870"/>
      <c r="P93" s="870"/>
      <c r="Q93" s="870"/>
      <c r="R93" s="870"/>
      <c r="S93" s="870"/>
      <c r="T93" s="870"/>
      <c r="U93" s="870"/>
      <c r="V93" s="870"/>
      <c r="W93" s="870"/>
      <c r="X93" s="870"/>
      <c r="Y93" s="870"/>
      <c r="Z93" s="870"/>
      <c r="AA93" s="870"/>
      <c r="AB93" s="870"/>
      <c r="AC93" s="870"/>
      <c r="AD93" s="870"/>
      <c r="AE93" s="870"/>
      <c r="AF93" s="870"/>
      <c r="AG93" s="870"/>
      <c r="AH93" s="870"/>
      <c r="AI93" s="870"/>
      <c r="AJ93" s="870"/>
      <c r="AK93" s="870"/>
      <c r="AL93" s="871"/>
    </row>
    <row r="94" spans="1:38" s="22" customFormat="1" ht="15" customHeight="1">
      <c r="A94" s="776" t="s">
        <v>142</v>
      </c>
      <c r="B94" s="777"/>
      <c r="C94" s="777"/>
      <c r="D94" s="749"/>
      <c r="E94" s="749"/>
      <c r="F94" s="749"/>
      <c r="G94" s="749"/>
      <c r="H94" s="749"/>
      <c r="I94" s="749"/>
      <c r="J94" s="749"/>
      <c r="K94" s="749"/>
      <c r="L94" s="749"/>
      <c r="M94" s="749"/>
      <c r="N94" s="749"/>
      <c r="O94" s="749"/>
      <c r="P94" s="765" t="s">
        <v>143</v>
      </c>
      <c r="Q94" s="765"/>
      <c r="R94" s="765"/>
      <c r="S94" s="765"/>
      <c r="T94" s="766"/>
      <c r="U94" s="766"/>
      <c r="V94" s="766"/>
      <c r="W94" s="766"/>
      <c r="X94" s="766"/>
      <c r="Y94" s="766"/>
      <c r="Z94" s="766"/>
      <c r="AA94" s="766"/>
      <c r="AB94" s="767" t="s">
        <v>106</v>
      </c>
      <c r="AC94" s="767"/>
      <c r="AD94" s="767"/>
      <c r="AE94" s="749"/>
      <c r="AF94" s="749"/>
      <c r="AG94" s="749"/>
      <c r="AH94" s="749"/>
      <c r="AI94" s="749"/>
      <c r="AJ94" s="749"/>
      <c r="AK94" s="749"/>
      <c r="AL94" s="775"/>
    </row>
    <row r="95" spans="1:38" s="22" customFormat="1" ht="15" customHeight="1">
      <c r="A95" s="776" t="s">
        <v>107</v>
      </c>
      <c r="B95" s="777"/>
      <c r="C95" s="780"/>
      <c r="D95" s="781"/>
      <c r="E95" s="781"/>
      <c r="F95" s="781"/>
      <c r="G95" s="782"/>
      <c r="H95" s="767" t="s">
        <v>101</v>
      </c>
      <c r="I95" s="767"/>
      <c r="J95" s="872"/>
      <c r="K95" s="872"/>
      <c r="L95" s="872"/>
      <c r="M95" s="872"/>
      <c r="N95" s="872"/>
      <c r="O95" s="872"/>
      <c r="P95" s="872"/>
      <c r="Q95" s="872"/>
      <c r="R95" s="872"/>
      <c r="S95" s="872"/>
      <c r="T95" s="872"/>
      <c r="U95" s="872"/>
      <c r="V95" s="510" t="s">
        <v>102</v>
      </c>
      <c r="W95" s="873"/>
      <c r="X95" s="873"/>
      <c r="Y95" s="873"/>
      <c r="Z95" s="873"/>
      <c r="AA95" s="873"/>
      <c r="AB95" s="873"/>
      <c r="AC95" s="873"/>
      <c r="AD95" s="726" t="s">
        <v>58</v>
      </c>
      <c r="AE95" s="726"/>
      <c r="AF95" s="749"/>
      <c r="AG95" s="749"/>
      <c r="AH95" s="510" t="s">
        <v>59</v>
      </c>
      <c r="AI95" s="728"/>
      <c r="AJ95" s="728"/>
      <c r="AK95" s="728"/>
      <c r="AL95" s="729"/>
    </row>
    <row r="96" spans="1:38" s="22" customFormat="1" ht="15" customHeight="1">
      <c r="A96" s="869" t="s">
        <v>146</v>
      </c>
      <c r="B96" s="870"/>
      <c r="C96" s="870"/>
      <c r="D96" s="870"/>
      <c r="E96" s="870"/>
      <c r="F96" s="870"/>
      <c r="G96" s="870"/>
      <c r="H96" s="870"/>
      <c r="I96" s="870"/>
      <c r="J96" s="870"/>
      <c r="K96" s="870"/>
      <c r="L96" s="870"/>
      <c r="M96" s="870"/>
      <c r="N96" s="870"/>
      <c r="O96" s="870"/>
      <c r="P96" s="870"/>
      <c r="Q96" s="870"/>
      <c r="R96" s="870"/>
      <c r="S96" s="870"/>
      <c r="T96" s="870"/>
      <c r="U96" s="870"/>
      <c r="V96" s="870"/>
      <c r="W96" s="870"/>
      <c r="X96" s="870"/>
      <c r="Y96" s="870"/>
      <c r="Z96" s="870"/>
      <c r="AA96" s="870"/>
      <c r="AB96" s="870"/>
      <c r="AC96" s="870"/>
      <c r="AD96" s="870"/>
      <c r="AE96" s="870"/>
      <c r="AF96" s="870"/>
      <c r="AG96" s="870"/>
      <c r="AH96" s="870"/>
      <c r="AI96" s="870"/>
      <c r="AJ96" s="870"/>
      <c r="AK96" s="870"/>
      <c r="AL96" s="871"/>
    </row>
    <row r="97" spans="1:38" s="22" customFormat="1" ht="15" customHeight="1">
      <c r="A97" s="776" t="s">
        <v>142</v>
      </c>
      <c r="B97" s="777"/>
      <c r="C97" s="777"/>
      <c r="D97" s="749"/>
      <c r="E97" s="749"/>
      <c r="F97" s="749"/>
      <c r="G97" s="749"/>
      <c r="H97" s="749"/>
      <c r="I97" s="749"/>
      <c r="J97" s="749"/>
      <c r="K97" s="749"/>
      <c r="L97" s="749"/>
      <c r="M97" s="749"/>
      <c r="N97" s="749"/>
      <c r="O97" s="749"/>
      <c r="P97" s="765" t="s">
        <v>143</v>
      </c>
      <c r="Q97" s="765"/>
      <c r="R97" s="765"/>
      <c r="S97" s="765"/>
      <c r="T97" s="766"/>
      <c r="U97" s="766"/>
      <c r="V97" s="766"/>
      <c r="W97" s="766"/>
      <c r="X97" s="766"/>
      <c r="Y97" s="766"/>
      <c r="Z97" s="766"/>
      <c r="AA97" s="766"/>
      <c r="AB97" s="767" t="s">
        <v>106</v>
      </c>
      <c r="AC97" s="767"/>
      <c r="AD97" s="767"/>
      <c r="AE97" s="749"/>
      <c r="AF97" s="749"/>
      <c r="AG97" s="749"/>
      <c r="AH97" s="749"/>
      <c r="AI97" s="749"/>
      <c r="AJ97" s="749"/>
      <c r="AK97" s="749"/>
      <c r="AL97" s="775"/>
    </row>
    <row r="98" spans="1:38" s="22" customFormat="1" ht="15" customHeight="1">
      <c r="A98" s="776" t="s">
        <v>107</v>
      </c>
      <c r="B98" s="777"/>
      <c r="C98" s="780"/>
      <c r="D98" s="781"/>
      <c r="E98" s="781"/>
      <c r="F98" s="781"/>
      <c r="G98" s="782"/>
      <c r="H98" s="767" t="s">
        <v>101</v>
      </c>
      <c r="I98" s="767"/>
      <c r="J98" s="872"/>
      <c r="K98" s="872"/>
      <c r="L98" s="872"/>
      <c r="M98" s="872"/>
      <c r="N98" s="872"/>
      <c r="O98" s="872"/>
      <c r="P98" s="872"/>
      <c r="Q98" s="872"/>
      <c r="R98" s="872"/>
      <c r="S98" s="872"/>
      <c r="T98" s="872"/>
      <c r="U98" s="872"/>
      <c r="V98" s="510" t="s">
        <v>102</v>
      </c>
      <c r="W98" s="873"/>
      <c r="X98" s="873"/>
      <c r="Y98" s="873"/>
      <c r="Z98" s="873"/>
      <c r="AA98" s="873"/>
      <c r="AB98" s="873"/>
      <c r="AC98" s="873"/>
      <c r="AD98" s="726" t="s">
        <v>58</v>
      </c>
      <c r="AE98" s="726"/>
      <c r="AF98" s="749"/>
      <c r="AG98" s="749"/>
      <c r="AH98" s="510" t="s">
        <v>59</v>
      </c>
      <c r="AI98" s="728"/>
      <c r="AJ98" s="728"/>
      <c r="AK98" s="728"/>
      <c r="AL98" s="729"/>
    </row>
    <row r="99" spans="1:38" s="22" customFormat="1" ht="15" customHeight="1">
      <c r="A99" s="869" t="s">
        <v>147</v>
      </c>
      <c r="B99" s="870"/>
      <c r="C99" s="870"/>
      <c r="D99" s="870"/>
      <c r="E99" s="870"/>
      <c r="F99" s="870"/>
      <c r="G99" s="870"/>
      <c r="H99" s="870"/>
      <c r="I99" s="870"/>
      <c r="J99" s="870"/>
      <c r="K99" s="870"/>
      <c r="L99" s="870"/>
      <c r="M99" s="870"/>
      <c r="N99" s="870"/>
      <c r="O99" s="870"/>
      <c r="P99" s="870"/>
      <c r="Q99" s="870"/>
      <c r="R99" s="870"/>
      <c r="S99" s="870"/>
      <c r="T99" s="870"/>
      <c r="U99" s="870"/>
      <c r="V99" s="870"/>
      <c r="W99" s="870"/>
      <c r="X99" s="870"/>
      <c r="Y99" s="870"/>
      <c r="Z99" s="870"/>
      <c r="AA99" s="870"/>
      <c r="AB99" s="870"/>
      <c r="AC99" s="870"/>
      <c r="AD99" s="870"/>
      <c r="AE99" s="870"/>
      <c r="AF99" s="870"/>
      <c r="AG99" s="870"/>
      <c r="AH99" s="870"/>
      <c r="AI99" s="870"/>
      <c r="AJ99" s="870"/>
      <c r="AK99" s="870"/>
      <c r="AL99" s="871"/>
    </row>
    <row r="100" spans="1:38" s="22" customFormat="1" ht="15" customHeight="1">
      <c r="A100" s="776" t="s">
        <v>142</v>
      </c>
      <c r="B100" s="777"/>
      <c r="C100" s="777"/>
      <c r="D100" s="749"/>
      <c r="E100" s="749"/>
      <c r="F100" s="749"/>
      <c r="G100" s="749"/>
      <c r="H100" s="749"/>
      <c r="I100" s="749"/>
      <c r="J100" s="749"/>
      <c r="K100" s="749"/>
      <c r="L100" s="749"/>
      <c r="M100" s="749"/>
      <c r="N100" s="749"/>
      <c r="O100" s="749"/>
      <c r="P100" s="765" t="s">
        <v>143</v>
      </c>
      <c r="Q100" s="765"/>
      <c r="R100" s="765"/>
      <c r="S100" s="765"/>
      <c r="T100" s="766"/>
      <c r="U100" s="766"/>
      <c r="V100" s="766"/>
      <c r="W100" s="766"/>
      <c r="X100" s="766"/>
      <c r="Y100" s="766"/>
      <c r="Z100" s="766"/>
      <c r="AA100" s="766"/>
      <c r="AB100" s="767" t="s">
        <v>106</v>
      </c>
      <c r="AC100" s="767"/>
      <c r="AD100" s="767"/>
      <c r="AE100" s="749"/>
      <c r="AF100" s="749"/>
      <c r="AG100" s="749"/>
      <c r="AH100" s="749"/>
      <c r="AI100" s="749"/>
      <c r="AJ100" s="749"/>
      <c r="AK100" s="749"/>
      <c r="AL100" s="775"/>
    </row>
    <row r="101" spans="1:38" s="22" customFormat="1" ht="15" customHeight="1">
      <c r="A101" s="776" t="s">
        <v>107</v>
      </c>
      <c r="B101" s="777"/>
      <c r="C101" s="780"/>
      <c r="D101" s="781"/>
      <c r="E101" s="781"/>
      <c r="F101" s="781"/>
      <c r="G101" s="782"/>
      <c r="H101" s="767" t="s">
        <v>101</v>
      </c>
      <c r="I101" s="767"/>
      <c r="J101" s="872"/>
      <c r="K101" s="872"/>
      <c r="L101" s="872"/>
      <c r="M101" s="872"/>
      <c r="N101" s="872"/>
      <c r="O101" s="872"/>
      <c r="P101" s="872"/>
      <c r="Q101" s="872"/>
      <c r="R101" s="872"/>
      <c r="S101" s="872"/>
      <c r="T101" s="872"/>
      <c r="U101" s="872"/>
      <c r="V101" s="510" t="s">
        <v>102</v>
      </c>
      <c r="W101" s="873"/>
      <c r="X101" s="873"/>
      <c r="Y101" s="873"/>
      <c r="Z101" s="873"/>
      <c r="AA101" s="873"/>
      <c r="AB101" s="873"/>
      <c r="AC101" s="873"/>
      <c r="AD101" s="726" t="s">
        <v>58</v>
      </c>
      <c r="AE101" s="726"/>
      <c r="AF101" s="749"/>
      <c r="AG101" s="749"/>
      <c r="AH101" s="510" t="s">
        <v>59</v>
      </c>
      <c r="AI101" s="728"/>
      <c r="AJ101" s="728"/>
      <c r="AK101" s="728"/>
      <c r="AL101" s="729"/>
    </row>
    <row r="102" spans="1:38" s="335" customFormat="1" ht="15" customHeight="1">
      <c r="A102" s="338" t="s">
        <v>148</v>
      </c>
      <c r="B102" s="339"/>
      <c r="C102" s="339"/>
      <c r="D102" s="339"/>
      <c r="E102" s="339"/>
      <c r="F102" s="339"/>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1"/>
    </row>
    <row r="103" spans="1:38" s="22" customFormat="1" ht="15" customHeight="1">
      <c r="A103" s="776" t="s">
        <v>142</v>
      </c>
      <c r="B103" s="777"/>
      <c r="C103" s="777"/>
      <c r="D103" s="749"/>
      <c r="E103" s="749"/>
      <c r="F103" s="749"/>
      <c r="G103" s="749"/>
      <c r="H103" s="749"/>
      <c r="I103" s="749"/>
      <c r="J103" s="749"/>
      <c r="K103" s="749"/>
      <c r="L103" s="749"/>
      <c r="M103" s="749"/>
      <c r="N103" s="749"/>
      <c r="O103" s="749"/>
      <c r="P103" s="765" t="s">
        <v>143</v>
      </c>
      <c r="Q103" s="765"/>
      <c r="R103" s="765"/>
      <c r="S103" s="765"/>
      <c r="T103" s="766"/>
      <c r="U103" s="766"/>
      <c r="V103" s="766"/>
      <c r="W103" s="766"/>
      <c r="X103" s="766"/>
      <c r="Y103" s="766"/>
      <c r="Z103" s="766"/>
      <c r="AA103" s="766"/>
      <c r="AB103" s="767" t="s">
        <v>106</v>
      </c>
      <c r="AC103" s="767"/>
      <c r="AD103" s="767"/>
      <c r="AE103" s="749"/>
      <c r="AF103" s="749"/>
      <c r="AG103" s="749"/>
      <c r="AH103" s="749"/>
      <c r="AI103" s="749"/>
      <c r="AJ103" s="749"/>
      <c r="AK103" s="749"/>
      <c r="AL103" s="775"/>
    </row>
    <row r="104" spans="1:38" s="337" customFormat="1" ht="15" customHeight="1">
      <c r="A104" s="778" t="s">
        <v>107</v>
      </c>
      <c r="B104" s="779"/>
      <c r="C104" s="780"/>
      <c r="D104" s="781"/>
      <c r="E104" s="781"/>
      <c r="F104" s="781"/>
      <c r="G104" s="782"/>
      <c r="H104" s="783" t="s">
        <v>101</v>
      </c>
      <c r="I104" s="784"/>
      <c r="J104" s="785"/>
      <c r="K104" s="786"/>
      <c r="L104" s="786"/>
      <c r="M104" s="786"/>
      <c r="N104" s="786"/>
      <c r="O104" s="786"/>
      <c r="P104" s="786"/>
      <c r="Q104" s="786"/>
      <c r="R104" s="786"/>
      <c r="S104" s="786"/>
      <c r="T104" s="786"/>
      <c r="U104" s="787"/>
      <c r="V104" s="382" t="s">
        <v>102</v>
      </c>
      <c r="W104" s="788"/>
      <c r="X104" s="789"/>
      <c r="Y104" s="789"/>
      <c r="Z104" s="789"/>
      <c r="AA104" s="789"/>
      <c r="AB104" s="789"/>
      <c r="AC104" s="790"/>
      <c r="AD104" s="791" t="s">
        <v>58</v>
      </c>
      <c r="AE104" s="792"/>
      <c r="AF104" s="795"/>
      <c r="AG104" s="796"/>
      <c r="AH104" s="383" t="s">
        <v>59</v>
      </c>
      <c r="AI104" s="728"/>
      <c r="AJ104" s="728"/>
      <c r="AK104" s="728"/>
      <c r="AL104" s="729"/>
    </row>
    <row r="105" spans="1:38" s="335" customFormat="1" ht="15" customHeight="1">
      <c r="A105" s="338" t="s">
        <v>148</v>
      </c>
      <c r="B105" s="339"/>
      <c r="C105" s="339"/>
      <c r="D105" s="339"/>
      <c r="E105" s="339"/>
      <c r="F105" s="339"/>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1"/>
    </row>
    <row r="106" spans="1:38" s="22" customFormat="1" ht="15" customHeight="1">
      <c r="A106" s="776" t="s">
        <v>142</v>
      </c>
      <c r="B106" s="777"/>
      <c r="C106" s="777"/>
      <c r="D106" s="749"/>
      <c r="E106" s="749"/>
      <c r="F106" s="749"/>
      <c r="G106" s="749"/>
      <c r="H106" s="749"/>
      <c r="I106" s="749"/>
      <c r="J106" s="749"/>
      <c r="K106" s="749"/>
      <c r="L106" s="749"/>
      <c r="M106" s="749"/>
      <c r="N106" s="749"/>
      <c r="O106" s="749"/>
      <c r="P106" s="765" t="s">
        <v>143</v>
      </c>
      <c r="Q106" s="765"/>
      <c r="R106" s="765"/>
      <c r="S106" s="765"/>
      <c r="T106" s="766"/>
      <c r="U106" s="766"/>
      <c r="V106" s="766"/>
      <c r="W106" s="766"/>
      <c r="X106" s="766"/>
      <c r="Y106" s="766"/>
      <c r="Z106" s="766"/>
      <c r="AA106" s="766"/>
      <c r="AB106" s="767" t="s">
        <v>106</v>
      </c>
      <c r="AC106" s="767"/>
      <c r="AD106" s="767"/>
      <c r="AE106" s="749"/>
      <c r="AF106" s="749"/>
      <c r="AG106" s="749"/>
      <c r="AH106" s="749"/>
      <c r="AI106" s="749"/>
      <c r="AJ106" s="749"/>
      <c r="AK106" s="749"/>
      <c r="AL106" s="775"/>
    </row>
    <row r="107" spans="1:38" s="337" customFormat="1" ht="15" customHeight="1">
      <c r="A107" s="778" t="s">
        <v>107</v>
      </c>
      <c r="B107" s="779"/>
      <c r="C107" s="780"/>
      <c r="D107" s="781"/>
      <c r="E107" s="781"/>
      <c r="F107" s="781"/>
      <c r="G107" s="782"/>
      <c r="H107" s="783" t="s">
        <v>101</v>
      </c>
      <c r="I107" s="784"/>
      <c r="J107" s="785"/>
      <c r="K107" s="786"/>
      <c r="L107" s="786"/>
      <c r="M107" s="786"/>
      <c r="N107" s="786"/>
      <c r="O107" s="786"/>
      <c r="P107" s="786"/>
      <c r="Q107" s="786"/>
      <c r="R107" s="786"/>
      <c r="S107" s="786"/>
      <c r="T107" s="786"/>
      <c r="U107" s="787"/>
      <c r="V107" s="382" t="s">
        <v>102</v>
      </c>
      <c r="W107" s="788"/>
      <c r="X107" s="789"/>
      <c r="Y107" s="789"/>
      <c r="Z107" s="789"/>
      <c r="AA107" s="789"/>
      <c r="AB107" s="789"/>
      <c r="AC107" s="790"/>
      <c r="AD107" s="791" t="s">
        <v>58</v>
      </c>
      <c r="AE107" s="792"/>
      <c r="AF107" s="795"/>
      <c r="AG107" s="796"/>
      <c r="AH107" s="383" t="s">
        <v>59</v>
      </c>
      <c r="AI107" s="728"/>
      <c r="AJ107" s="728"/>
      <c r="AK107" s="728"/>
      <c r="AL107" s="729"/>
    </row>
    <row r="108" spans="1:38" s="335" customFormat="1" ht="15" customHeight="1">
      <c r="A108" s="338" t="s">
        <v>148</v>
      </c>
      <c r="B108" s="339"/>
      <c r="C108" s="339"/>
      <c r="D108" s="339"/>
      <c r="E108" s="339"/>
      <c r="F108" s="339"/>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1"/>
    </row>
    <row r="109" spans="1:38" s="22" customFormat="1" ht="15" customHeight="1">
      <c r="A109" s="776" t="s">
        <v>142</v>
      </c>
      <c r="B109" s="777"/>
      <c r="C109" s="777"/>
      <c r="D109" s="749"/>
      <c r="E109" s="749"/>
      <c r="F109" s="749"/>
      <c r="G109" s="749"/>
      <c r="H109" s="749"/>
      <c r="I109" s="749"/>
      <c r="J109" s="749"/>
      <c r="K109" s="749"/>
      <c r="L109" s="749"/>
      <c r="M109" s="749"/>
      <c r="N109" s="749"/>
      <c r="O109" s="749"/>
      <c r="P109" s="765" t="s">
        <v>143</v>
      </c>
      <c r="Q109" s="765"/>
      <c r="R109" s="765"/>
      <c r="S109" s="765"/>
      <c r="T109" s="766"/>
      <c r="U109" s="766"/>
      <c r="V109" s="766"/>
      <c r="W109" s="766"/>
      <c r="X109" s="766"/>
      <c r="Y109" s="766"/>
      <c r="Z109" s="766"/>
      <c r="AA109" s="766"/>
      <c r="AB109" s="767" t="s">
        <v>106</v>
      </c>
      <c r="AC109" s="767"/>
      <c r="AD109" s="767"/>
      <c r="AE109" s="749"/>
      <c r="AF109" s="749"/>
      <c r="AG109" s="749"/>
      <c r="AH109" s="749"/>
      <c r="AI109" s="749"/>
      <c r="AJ109" s="749"/>
      <c r="AK109" s="749"/>
      <c r="AL109" s="775"/>
    </row>
    <row r="110" spans="1:38" s="335" customFormat="1" ht="15" customHeight="1">
      <c r="A110" s="797" t="s">
        <v>107</v>
      </c>
      <c r="B110" s="798"/>
      <c r="C110" s="780"/>
      <c r="D110" s="781"/>
      <c r="E110" s="781"/>
      <c r="F110" s="781"/>
      <c r="G110" s="782"/>
      <c r="H110" s="799" t="s">
        <v>101</v>
      </c>
      <c r="I110" s="800"/>
      <c r="J110" s="801"/>
      <c r="K110" s="802"/>
      <c r="L110" s="802"/>
      <c r="M110" s="802"/>
      <c r="N110" s="802"/>
      <c r="O110" s="802"/>
      <c r="P110" s="802"/>
      <c r="Q110" s="802"/>
      <c r="R110" s="802"/>
      <c r="S110" s="802"/>
      <c r="T110" s="802"/>
      <c r="U110" s="803"/>
      <c r="V110" s="380" t="s">
        <v>102</v>
      </c>
      <c r="W110" s="804"/>
      <c r="X110" s="805"/>
      <c r="Y110" s="805"/>
      <c r="Z110" s="805"/>
      <c r="AA110" s="805"/>
      <c r="AB110" s="805"/>
      <c r="AC110" s="806"/>
      <c r="AD110" s="793" t="s">
        <v>58</v>
      </c>
      <c r="AE110" s="794"/>
      <c r="AF110" s="885"/>
      <c r="AG110" s="886"/>
      <c r="AH110" s="381" t="s">
        <v>59</v>
      </c>
      <c r="AI110" s="728"/>
      <c r="AJ110" s="728"/>
      <c r="AK110" s="728"/>
      <c r="AL110" s="729"/>
    </row>
    <row r="111" spans="1:38" s="335" customFormat="1" ht="15" customHeight="1">
      <c r="A111" s="338" t="s">
        <v>148</v>
      </c>
      <c r="B111" s="339"/>
      <c r="C111" s="339"/>
      <c r="D111" s="339"/>
      <c r="E111" s="339"/>
      <c r="F111" s="339"/>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1"/>
    </row>
    <row r="112" spans="1:38" s="22" customFormat="1" ht="15" customHeight="1">
      <c r="A112" s="776" t="s">
        <v>142</v>
      </c>
      <c r="B112" s="777"/>
      <c r="C112" s="777"/>
      <c r="D112" s="749"/>
      <c r="E112" s="749"/>
      <c r="F112" s="749"/>
      <c r="G112" s="749"/>
      <c r="H112" s="749"/>
      <c r="I112" s="749"/>
      <c r="J112" s="749"/>
      <c r="K112" s="749"/>
      <c r="L112" s="749"/>
      <c r="M112" s="749"/>
      <c r="N112" s="749"/>
      <c r="O112" s="749"/>
      <c r="P112" s="765" t="s">
        <v>143</v>
      </c>
      <c r="Q112" s="765"/>
      <c r="R112" s="765"/>
      <c r="S112" s="765"/>
      <c r="T112" s="766"/>
      <c r="U112" s="766"/>
      <c r="V112" s="766"/>
      <c r="W112" s="766"/>
      <c r="X112" s="766"/>
      <c r="Y112" s="766"/>
      <c r="Z112" s="766"/>
      <c r="AA112" s="766"/>
      <c r="AB112" s="767" t="s">
        <v>106</v>
      </c>
      <c r="AC112" s="767"/>
      <c r="AD112" s="767"/>
      <c r="AE112" s="749"/>
      <c r="AF112" s="749"/>
      <c r="AG112" s="749"/>
      <c r="AH112" s="749"/>
      <c r="AI112" s="749"/>
      <c r="AJ112" s="749"/>
      <c r="AK112" s="749"/>
      <c r="AL112" s="775"/>
    </row>
    <row r="113" spans="1:42" s="337" customFormat="1" ht="15" customHeight="1">
      <c r="A113" s="778" t="s">
        <v>107</v>
      </c>
      <c r="B113" s="779"/>
      <c r="C113" s="780"/>
      <c r="D113" s="781"/>
      <c r="E113" s="781"/>
      <c r="F113" s="781"/>
      <c r="G113" s="782"/>
      <c r="H113" s="783" t="s">
        <v>101</v>
      </c>
      <c r="I113" s="784"/>
      <c r="J113" s="785"/>
      <c r="K113" s="786"/>
      <c r="L113" s="786"/>
      <c r="M113" s="786"/>
      <c r="N113" s="786"/>
      <c r="O113" s="786"/>
      <c r="P113" s="786"/>
      <c r="Q113" s="786"/>
      <c r="R113" s="786"/>
      <c r="S113" s="786"/>
      <c r="T113" s="786"/>
      <c r="U113" s="787"/>
      <c r="V113" s="382" t="s">
        <v>102</v>
      </c>
      <c r="W113" s="788"/>
      <c r="X113" s="789"/>
      <c r="Y113" s="789"/>
      <c r="Z113" s="789"/>
      <c r="AA113" s="789"/>
      <c r="AB113" s="789"/>
      <c r="AC113" s="790"/>
      <c r="AD113" s="791" t="s">
        <v>58</v>
      </c>
      <c r="AE113" s="792"/>
      <c r="AF113" s="795"/>
      <c r="AG113" s="796"/>
      <c r="AH113" s="383" t="s">
        <v>59</v>
      </c>
      <c r="AI113" s="728"/>
      <c r="AJ113" s="728"/>
      <c r="AK113" s="728"/>
      <c r="AL113" s="729"/>
    </row>
    <row r="114" spans="1:42" s="335" customFormat="1" ht="15" customHeight="1">
      <c r="A114" s="338" t="s">
        <v>148</v>
      </c>
      <c r="B114" s="339"/>
      <c r="C114" s="339"/>
      <c r="D114" s="339"/>
      <c r="E114" s="339"/>
      <c r="F114" s="339"/>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1"/>
    </row>
    <row r="115" spans="1:42" s="22" customFormat="1" ht="15" customHeight="1">
      <c r="A115" s="776" t="s">
        <v>142</v>
      </c>
      <c r="B115" s="777"/>
      <c r="C115" s="777"/>
      <c r="D115" s="749"/>
      <c r="E115" s="749"/>
      <c r="F115" s="749"/>
      <c r="G115" s="749"/>
      <c r="H115" s="749"/>
      <c r="I115" s="749"/>
      <c r="J115" s="749"/>
      <c r="K115" s="749"/>
      <c r="L115" s="749"/>
      <c r="M115" s="749"/>
      <c r="N115" s="749"/>
      <c r="O115" s="749"/>
      <c r="P115" s="765" t="s">
        <v>143</v>
      </c>
      <c r="Q115" s="765"/>
      <c r="R115" s="765"/>
      <c r="S115" s="765"/>
      <c r="T115" s="766"/>
      <c r="U115" s="766"/>
      <c r="V115" s="766"/>
      <c r="W115" s="766"/>
      <c r="X115" s="766"/>
      <c r="Y115" s="766"/>
      <c r="Z115" s="766"/>
      <c r="AA115" s="766"/>
      <c r="AB115" s="767" t="s">
        <v>106</v>
      </c>
      <c r="AC115" s="767"/>
      <c r="AD115" s="767"/>
      <c r="AE115" s="749"/>
      <c r="AF115" s="749"/>
      <c r="AG115" s="749"/>
      <c r="AH115" s="749"/>
      <c r="AI115" s="749"/>
      <c r="AJ115" s="749"/>
      <c r="AK115" s="749"/>
      <c r="AL115" s="775"/>
    </row>
    <row r="116" spans="1:42" s="337" customFormat="1" ht="15" customHeight="1">
      <c r="A116" s="778" t="s">
        <v>107</v>
      </c>
      <c r="B116" s="779"/>
      <c r="C116" s="780"/>
      <c r="D116" s="781"/>
      <c r="E116" s="781"/>
      <c r="F116" s="781"/>
      <c r="G116" s="782"/>
      <c r="H116" s="783" t="s">
        <v>101</v>
      </c>
      <c r="I116" s="784"/>
      <c r="J116" s="785"/>
      <c r="K116" s="786"/>
      <c r="L116" s="786"/>
      <c r="M116" s="786"/>
      <c r="N116" s="786"/>
      <c r="O116" s="786"/>
      <c r="P116" s="786"/>
      <c r="Q116" s="786"/>
      <c r="R116" s="786"/>
      <c r="S116" s="786"/>
      <c r="T116" s="786"/>
      <c r="U116" s="787"/>
      <c r="V116" s="382" t="s">
        <v>102</v>
      </c>
      <c r="W116" s="788"/>
      <c r="X116" s="789"/>
      <c r="Y116" s="789"/>
      <c r="Z116" s="789"/>
      <c r="AA116" s="789"/>
      <c r="AB116" s="789"/>
      <c r="AC116" s="790"/>
      <c r="AD116" s="791" t="s">
        <v>58</v>
      </c>
      <c r="AE116" s="792"/>
      <c r="AF116" s="795"/>
      <c r="AG116" s="796"/>
      <c r="AH116" s="383" t="s">
        <v>59</v>
      </c>
      <c r="AI116" s="728"/>
      <c r="AJ116" s="728"/>
      <c r="AK116" s="728"/>
      <c r="AL116" s="729"/>
    </row>
    <row r="117" spans="1:42" customFormat="1" ht="18" customHeight="1">
      <c r="A117" s="815" t="s">
        <v>149</v>
      </c>
      <c r="B117" s="816"/>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16"/>
      <c r="Z117" s="816"/>
      <c r="AA117" s="816"/>
      <c r="AB117" s="816"/>
      <c r="AC117" s="816"/>
      <c r="AD117" s="816"/>
      <c r="AE117" s="816"/>
      <c r="AF117" s="816"/>
      <c r="AG117" s="816"/>
      <c r="AH117" s="816"/>
      <c r="AI117" s="816"/>
      <c r="AJ117" s="816"/>
      <c r="AK117" s="816"/>
      <c r="AL117" s="817"/>
    </row>
    <row r="118" spans="1:42" s="333" customFormat="1" ht="15" customHeight="1">
      <c r="A118" s="818" t="s">
        <v>150</v>
      </c>
      <c r="B118" s="819"/>
      <c r="C118" s="819"/>
      <c r="D118" s="819"/>
      <c r="E118" s="819"/>
      <c r="F118" s="819"/>
      <c r="G118" s="819"/>
      <c r="H118" s="819"/>
      <c r="I118" s="819"/>
      <c r="J118" s="819"/>
      <c r="K118" s="819"/>
      <c r="L118" s="819"/>
      <c r="M118" s="819"/>
      <c r="N118" s="819"/>
      <c r="O118" s="819"/>
      <c r="P118" s="819"/>
      <c r="Q118" s="819"/>
      <c r="R118" s="819"/>
      <c r="S118" s="819"/>
      <c r="T118" s="819"/>
      <c r="U118" s="819"/>
      <c r="V118" s="819"/>
      <c r="W118" s="819"/>
      <c r="X118" s="819"/>
      <c r="Y118" s="819"/>
      <c r="Z118" s="819"/>
      <c r="AA118" s="819"/>
      <c r="AB118" s="819"/>
      <c r="AC118" s="819"/>
      <c r="AD118" s="819"/>
      <c r="AE118" s="819"/>
      <c r="AF118" s="819"/>
      <c r="AG118" s="819"/>
      <c r="AH118" s="819"/>
      <c r="AI118" s="819"/>
      <c r="AJ118" s="819"/>
      <c r="AK118" s="819"/>
      <c r="AL118" s="820"/>
      <c r="AM118" s="379"/>
    </row>
    <row r="119" spans="1:42" s="29" customFormat="1" ht="45" customHeight="1">
      <c r="A119" s="763" t="s">
        <v>151</v>
      </c>
      <c r="B119" s="764"/>
      <c r="C119" s="764"/>
      <c r="D119" s="764"/>
      <c r="E119" s="764"/>
      <c r="F119" s="764"/>
      <c r="G119" s="764"/>
      <c r="H119" s="764"/>
      <c r="I119" s="764"/>
      <c r="J119" s="764"/>
      <c r="K119" s="764"/>
      <c r="L119" s="764"/>
      <c r="M119" s="764"/>
      <c r="N119" s="764"/>
      <c r="O119" s="764"/>
      <c r="P119" s="764"/>
      <c r="Q119" s="764"/>
      <c r="R119" s="764"/>
      <c r="S119" s="764"/>
      <c r="T119" s="764"/>
      <c r="U119" s="764"/>
      <c r="V119" s="764"/>
      <c r="W119" s="764"/>
      <c r="X119" s="764"/>
      <c r="Y119" s="764"/>
      <c r="Z119" s="764"/>
      <c r="AA119" s="764"/>
      <c r="AB119" s="764"/>
      <c r="AC119" s="764"/>
      <c r="AD119" s="764"/>
      <c r="AE119" s="764"/>
      <c r="AF119" s="764"/>
      <c r="AG119" s="764"/>
      <c r="AH119" s="764"/>
      <c r="AI119" s="764"/>
      <c r="AJ119" s="764"/>
      <c r="AK119" s="714"/>
      <c r="AL119" s="715"/>
    </row>
    <row r="120" spans="1:42" s="29" customFormat="1" ht="15" customHeight="1">
      <c r="A120" s="810" t="s">
        <v>152</v>
      </c>
      <c r="B120" s="761"/>
      <c r="C120" s="762"/>
      <c r="D120" s="916" t="s">
        <v>153</v>
      </c>
      <c r="E120" s="917"/>
      <c r="F120" s="917"/>
      <c r="G120" s="917"/>
      <c r="H120" s="917"/>
      <c r="I120" s="917"/>
      <c r="J120" s="917"/>
      <c r="K120" s="918"/>
      <c r="L120" s="919" t="s">
        <v>154</v>
      </c>
      <c r="M120" s="920"/>
      <c r="N120" s="920"/>
      <c r="O120" s="920"/>
      <c r="P120" s="920"/>
      <c r="Q120" s="920"/>
      <c r="R120" s="920"/>
      <c r="S120" s="920"/>
      <c r="T120" s="920"/>
      <c r="U120" s="920"/>
      <c r="V120" s="920"/>
      <c r="W120" s="920"/>
      <c r="X120" s="920"/>
      <c r="Y120" s="920"/>
      <c r="Z120" s="920"/>
      <c r="AA120" s="920"/>
      <c r="AB120" s="920"/>
      <c r="AC120" s="920"/>
      <c r="AD120" s="920"/>
      <c r="AE120" s="921"/>
      <c r="AF120" s="811" t="s">
        <v>112</v>
      </c>
      <c r="AG120" s="812"/>
      <c r="AH120" s="812"/>
      <c r="AI120" s="812"/>
      <c r="AJ120" s="813"/>
      <c r="AK120" s="714"/>
      <c r="AL120" s="715"/>
      <c r="AN120"/>
      <c r="AO120"/>
      <c r="AP120"/>
    </row>
    <row r="121" spans="1:42" s="29" customFormat="1" ht="15" customHeight="1">
      <c r="A121" s="810" t="s">
        <v>152</v>
      </c>
      <c r="B121" s="761"/>
      <c r="C121" s="762"/>
      <c r="D121" s="916" t="s">
        <v>155</v>
      </c>
      <c r="E121" s="917"/>
      <c r="F121" s="917"/>
      <c r="G121" s="917"/>
      <c r="H121" s="917"/>
      <c r="I121" s="917"/>
      <c r="J121" s="917"/>
      <c r="K121" s="918"/>
      <c r="L121" s="919" t="s">
        <v>156</v>
      </c>
      <c r="M121" s="920"/>
      <c r="N121" s="920"/>
      <c r="O121" s="920"/>
      <c r="P121" s="920"/>
      <c r="Q121" s="920"/>
      <c r="R121" s="920"/>
      <c r="S121" s="920"/>
      <c r="T121" s="920"/>
      <c r="U121" s="920"/>
      <c r="V121" s="920"/>
      <c r="W121" s="920"/>
      <c r="X121" s="920"/>
      <c r="Y121" s="920"/>
      <c r="Z121" s="920"/>
      <c r="AA121" s="920"/>
      <c r="AB121" s="920"/>
      <c r="AC121" s="920"/>
      <c r="AD121" s="920"/>
      <c r="AE121" s="921"/>
      <c r="AF121" s="811" t="s">
        <v>112</v>
      </c>
      <c r="AG121" s="812"/>
      <c r="AH121" s="812"/>
      <c r="AI121" s="812"/>
      <c r="AJ121" s="813"/>
      <c r="AK121" s="714"/>
      <c r="AL121" s="715"/>
      <c r="AN121"/>
      <c r="AO121"/>
      <c r="AP121"/>
    </row>
    <row r="122" spans="1:42" s="29" customFormat="1" ht="15" customHeight="1">
      <c r="A122" s="763" t="s">
        <v>157</v>
      </c>
      <c r="B122" s="764"/>
      <c r="C122" s="764"/>
      <c r="D122" s="764"/>
      <c r="E122" s="764"/>
      <c r="F122" s="764"/>
      <c r="G122" s="764"/>
      <c r="H122" s="764"/>
      <c r="I122" s="764"/>
      <c r="J122" s="764"/>
      <c r="K122" s="764"/>
      <c r="L122" s="764"/>
      <c r="M122" s="764"/>
      <c r="N122" s="764"/>
      <c r="O122" s="764"/>
      <c r="P122" s="764"/>
      <c r="Q122" s="764"/>
      <c r="R122" s="764"/>
      <c r="S122" s="764"/>
      <c r="T122" s="764"/>
      <c r="U122" s="764"/>
      <c r="V122" s="764"/>
      <c r="W122" s="764"/>
      <c r="X122" s="764"/>
      <c r="Y122" s="764"/>
      <c r="Z122" s="764"/>
      <c r="AA122" s="764"/>
      <c r="AB122" s="764"/>
      <c r="AC122" s="764"/>
      <c r="AD122" s="764"/>
      <c r="AE122" s="764"/>
      <c r="AF122" s="764"/>
      <c r="AG122" s="764"/>
      <c r="AH122" s="764"/>
      <c r="AI122" s="764"/>
      <c r="AJ122" s="764"/>
      <c r="AK122" s="714"/>
      <c r="AL122" s="715"/>
    </row>
    <row r="123" spans="1:42" s="29" customFormat="1" ht="45" customHeight="1">
      <c r="A123" s="760" t="s">
        <v>152</v>
      </c>
      <c r="B123" s="761"/>
      <c r="C123" s="762"/>
      <c r="D123" s="810" t="s">
        <v>158</v>
      </c>
      <c r="E123" s="761"/>
      <c r="F123" s="761"/>
      <c r="G123" s="761"/>
      <c r="H123" s="761"/>
      <c r="I123" s="761"/>
      <c r="J123" s="761"/>
      <c r="K123" s="762"/>
      <c r="L123" s="810" t="s">
        <v>159</v>
      </c>
      <c r="M123" s="761"/>
      <c r="N123" s="761"/>
      <c r="O123" s="761"/>
      <c r="P123" s="761"/>
      <c r="Q123" s="761"/>
      <c r="R123" s="761"/>
      <c r="S123" s="761"/>
      <c r="T123" s="761"/>
      <c r="U123" s="761"/>
      <c r="V123" s="761"/>
      <c r="W123" s="761"/>
      <c r="X123" s="761"/>
      <c r="Y123" s="761"/>
      <c r="Z123" s="761"/>
      <c r="AA123" s="761"/>
      <c r="AB123" s="761"/>
      <c r="AC123" s="761"/>
      <c r="AD123" s="761"/>
      <c r="AE123" s="761"/>
      <c r="AF123" s="811" t="s">
        <v>112</v>
      </c>
      <c r="AG123" s="812"/>
      <c r="AH123" s="812"/>
      <c r="AI123" s="812"/>
      <c r="AJ123" s="813"/>
      <c r="AK123" s="714"/>
      <c r="AL123" s="715"/>
    </row>
    <row r="124" spans="1:42" s="29" customFormat="1" ht="15" customHeight="1">
      <c r="A124" s="763" t="s">
        <v>160</v>
      </c>
      <c r="B124" s="764"/>
      <c r="C124" s="764"/>
      <c r="D124" s="764"/>
      <c r="E124" s="764"/>
      <c r="F124" s="764"/>
      <c r="G124" s="764"/>
      <c r="H124" s="764"/>
      <c r="I124" s="764"/>
      <c r="J124" s="764"/>
      <c r="K124" s="764"/>
      <c r="L124" s="764"/>
      <c r="M124" s="764"/>
      <c r="N124" s="764"/>
      <c r="O124" s="764"/>
      <c r="P124" s="764"/>
      <c r="Q124" s="764"/>
      <c r="R124" s="764"/>
      <c r="S124" s="764"/>
      <c r="T124" s="764"/>
      <c r="U124" s="764"/>
      <c r="V124" s="764"/>
      <c r="W124" s="764"/>
      <c r="X124" s="764"/>
      <c r="Y124" s="764"/>
      <c r="Z124" s="764"/>
      <c r="AA124" s="764"/>
      <c r="AB124" s="764"/>
      <c r="AC124" s="764"/>
      <c r="AD124" s="764"/>
      <c r="AE124" s="764"/>
      <c r="AF124" s="764"/>
      <c r="AG124" s="764"/>
      <c r="AH124" s="764"/>
      <c r="AI124" s="764"/>
      <c r="AJ124" s="764"/>
      <c r="AK124" s="714"/>
      <c r="AL124" s="715"/>
    </row>
    <row r="125" spans="1:42" s="29" customFormat="1" ht="15" customHeight="1">
      <c r="A125" s="763" t="s">
        <v>161</v>
      </c>
      <c r="B125" s="764"/>
      <c r="C125" s="764"/>
      <c r="D125" s="764"/>
      <c r="E125" s="764"/>
      <c r="F125" s="764"/>
      <c r="G125" s="764"/>
      <c r="H125" s="764"/>
      <c r="I125" s="764"/>
      <c r="J125" s="764"/>
      <c r="K125" s="764"/>
      <c r="L125" s="764"/>
      <c r="M125" s="764"/>
      <c r="N125" s="764"/>
      <c r="O125" s="764"/>
      <c r="P125" s="764"/>
      <c r="Q125" s="764"/>
      <c r="R125" s="764"/>
      <c r="S125" s="764"/>
      <c r="T125" s="764"/>
      <c r="U125" s="764"/>
      <c r="V125" s="764"/>
      <c r="W125" s="764"/>
      <c r="X125" s="764"/>
      <c r="Y125" s="764"/>
      <c r="Z125" s="764"/>
      <c r="AA125" s="764"/>
      <c r="AB125" s="764"/>
      <c r="AC125" s="764"/>
      <c r="AD125" s="764"/>
      <c r="AE125" s="764"/>
      <c r="AF125" s="764"/>
      <c r="AG125" s="764"/>
      <c r="AH125" s="764"/>
      <c r="AI125" s="764"/>
      <c r="AJ125" s="764"/>
      <c r="AK125" s="714"/>
      <c r="AL125" s="715"/>
    </row>
    <row r="126" spans="1:42" s="29" customFormat="1" ht="15" customHeight="1">
      <c r="A126" s="763" t="s">
        <v>162</v>
      </c>
      <c r="B126" s="764"/>
      <c r="C126" s="764"/>
      <c r="D126" s="764"/>
      <c r="E126" s="764"/>
      <c r="F126" s="764"/>
      <c r="G126" s="764"/>
      <c r="H126" s="764"/>
      <c r="I126" s="764"/>
      <c r="J126" s="764"/>
      <c r="K126" s="764"/>
      <c r="L126" s="764"/>
      <c r="M126" s="764"/>
      <c r="N126" s="764"/>
      <c r="O126" s="764"/>
      <c r="P126" s="764"/>
      <c r="Q126" s="764"/>
      <c r="R126" s="764"/>
      <c r="S126" s="764"/>
      <c r="T126" s="764"/>
      <c r="U126" s="764"/>
      <c r="V126" s="764"/>
      <c r="W126" s="764"/>
      <c r="X126" s="764"/>
      <c r="Y126" s="764"/>
      <c r="Z126" s="764"/>
      <c r="AA126" s="764"/>
      <c r="AB126" s="764"/>
      <c r="AC126" s="764"/>
      <c r="AD126" s="764"/>
      <c r="AE126" s="764"/>
      <c r="AF126" s="764"/>
      <c r="AG126" s="764"/>
      <c r="AH126" s="764"/>
      <c r="AI126" s="764"/>
      <c r="AJ126" s="764"/>
      <c r="AK126" s="714"/>
      <c r="AL126" s="715"/>
    </row>
    <row r="127" spans="1:42" s="29" customFormat="1" ht="30" customHeight="1">
      <c r="A127" s="760" t="s">
        <v>152</v>
      </c>
      <c r="B127" s="761"/>
      <c r="C127" s="762"/>
      <c r="D127" s="810" t="s">
        <v>158</v>
      </c>
      <c r="E127" s="761"/>
      <c r="F127" s="761"/>
      <c r="G127" s="761"/>
      <c r="H127" s="761"/>
      <c r="I127" s="761"/>
      <c r="J127" s="761"/>
      <c r="K127" s="762"/>
      <c r="L127" s="810" t="s">
        <v>163</v>
      </c>
      <c r="M127" s="761"/>
      <c r="N127" s="761"/>
      <c r="O127" s="761"/>
      <c r="P127" s="761"/>
      <c r="Q127" s="761"/>
      <c r="R127" s="761"/>
      <c r="S127" s="761"/>
      <c r="T127" s="761"/>
      <c r="U127" s="761"/>
      <c r="V127" s="761"/>
      <c r="W127" s="761"/>
      <c r="X127" s="761"/>
      <c r="Y127" s="761"/>
      <c r="Z127" s="761"/>
      <c r="AA127" s="761"/>
      <c r="AB127" s="761"/>
      <c r="AC127" s="761"/>
      <c r="AD127" s="761"/>
      <c r="AE127" s="761"/>
      <c r="AF127" s="811" t="s">
        <v>112</v>
      </c>
      <c r="AG127" s="812"/>
      <c r="AH127" s="812"/>
      <c r="AI127" s="812"/>
      <c r="AJ127" s="813"/>
      <c r="AK127" s="714"/>
      <c r="AL127" s="715"/>
    </row>
    <row r="128" spans="1:42" s="29" customFormat="1" ht="15" customHeight="1">
      <c r="A128" s="814" t="s">
        <v>164</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4"/>
      <c r="X128" s="764"/>
      <c r="Y128" s="764"/>
      <c r="Z128" s="764"/>
      <c r="AA128" s="764"/>
      <c r="AB128" s="764"/>
      <c r="AC128" s="764"/>
      <c r="AD128" s="764"/>
      <c r="AE128" s="764"/>
      <c r="AF128" s="764"/>
      <c r="AG128" s="764"/>
      <c r="AH128" s="764"/>
      <c r="AI128" s="764"/>
      <c r="AJ128" s="764"/>
      <c r="AK128" s="714"/>
      <c r="AL128" s="715"/>
    </row>
    <row r="129" spans="1:39" s="29" customFormat="1" ht="15" customHeight="1">
      <c r="A129" s="814" t="s">
        <v>165</v>
      </c>
      <c r="B129" s="764"/>
      <c r="C129" s="764"/>
      <c r="D129" s="764"/>
      <c r="E129" s="764"/>
      <c r="F129" s="764"/>
      <c r="G129" s="764"/>
      <c r="H129" s="764"/>
      <c r="I129" s="764"/>
      <c r="J129" s="764"/>
      <c r="K129" s="764"/>
      <c r="L129" s="764"/>
      <c r="M129" s="764"/>
      <c r="N129" s="764"/>
      <c r="O129" s="764"/>
      <c r="P129" s="764"/>
      <c r="Q129" s="764"/>
      <c r="R129" s="764"/>
      <c r="S129" s="764"/>
      <c r="T129" s="764"/>
      <c r="U129" s="764"/>
      <c r="V129" s="764"/>
      <c r="W129" s="764"/>
      <c r="X129" s="764"/>
      <c r="Y129" s="764"/>
      <c r="Z129" s="764"/>
      <c r="AA129" s="764"/>
      <c r="AB129" s="764"/>
      <c r="AC129" s="764"/>
      <c r="AD129" s="764"/>
      <c r="AE129" s="764"/>
      <c r="AF129" s="764"/>
      <c r="AG129" s="764"/>
      <c r="AH129" s="764"/>
      <c r="AI129" s="764"/>
      <c r="AJ129" s="764"/>
      <c r="AK129" s="714"/>
      <c r="AL129" s="715"/>
    </row>
    <row r="130" spans="1:39" customFormat="1" ht="18" customHeight="1">
      <c r="A130" s="815" t="s">
        <v>166</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6"/>
      <c r="X130" s="816"/>
      <c r="Y130" s="816"/>
      <c r="Z130" s="816"/>
      <c r="AA130" s="816"/>
      <c r="AB130" s="816"/>
      <c r="AC130" s="816"/>
      <c r="AD130" s="816"/>
      <c r="AE130" s="816"/>
      <c r="AF130" s="816"/>
      <c r="AG130" s="816"/>
      <c r="AH130" s="816"/>
      <c r="AI130" s="816"/>
      <c r="AJ130" s="816"/>
      <c r="AK130" s="816"/>
      <c r="AL130" s="817"/>
    </row>
    <row r="131" spans="1:39" s="333" customFormat="1" ht="15" customHeight="1">
      <c r="A131" s="818" t="s">
        <v>167</v>
      </c>
      <c r="B131" s="819"/>
      <c r="C131" s="819"/>
      <c r="D131" s="819"/>
      <c r="E131" s="819"/>
      <c r="F131" s="819"/>
      <c r="G131" s="819"/>
      <c r="H131" s="819"/>
      <c r="I131" s="819"/>
      <c r="J131" s="819"/>
      <c r="K131" s="819"/>
      <c r="L131" s="819"/>
      <c r="M131" s="819"/>
      <c r="N131" s="819"/>
      <c r="O131" s="819"/>
      <c r="P131" s="819"/>
      <c r="Q131" s="819"/>
      <c r="R131" s="819"/>
      <c r="S131" s="819"/>
      <c r="T131" s="819"/>
      <c r="U131" s="819"/>
      <c r="V131" s="819"/>
      <c r="W131" s="819"/>
      <c r="X131" s="819"/>
      <c r="Y131" s="819"/>
      <c r="Z131" s="819"/>
      <c r="AA131" s="819"/>
      <c r="AB131" s="819"/>
      <c r="AC131" s="819"/>
      <c r="AD131" s="819"/>
      <c r="AE131" s="819"/>
      <c r="AF131" s="819"/>
      <c r="AG131" s="819"/>
      <c r="AH131" s="819"/>
      <c r="AI131" s="819"/>
      <c r="AJ131" s="819"/>
      <c r="AK131" s="819"/>
      <c r="AL131" s="820"/>
      <c r="AM131" s="379"/>
    </row>
    <row r="132" spans="1:39" s="29" customFormat="1" ht="15" customHeight="1">
      <c r="A132" s="763" t="s">
        <v>168</v>
      </c>
      <c r="B132" s="764"/>
      <c r="C132" s="764"/>
      <c r="D132" s="764"/>
      <c r="E132" s="764"/>
      <c r="F132" s="764"/>
      <c r="G132" s="764"/>
      <c r="H132" s="764"/>
      <c r="I132" s="764"/>
      <c r="J132" s="764"/>
      <c r="K132" s="764"/>
      <c r="L132" s="764"/>
      <c r="M132" s="764"/>
      <c r="N132" s="764"/>
      <c r="O132" s="764"/>
      <c r="P132" s="764"/>
      <c r="Q132" s="764"/>
      <c r="R132" s="764"/>
      <c r="S132" s="764"/>
      <c r="T132" s="764"/>
      <c r="U132" s="764"/>
      <c r="V132" s="764"/>
      <c r="W132" s="764"/>
      <c r="X132" s="764"/>
      <c r="Y132" s="764"/>
      <c r="Z132" s="764"/>
      <c r="AA132" s="764"/>
      <c r="AB132" s="764"/>
      <c r="AC132" s="764"/>
      <c r="AD132" s="764"/>
      <c r="AE132" s="764"/>
      <c r="AF132" s="764"/>
      <c r="AG132" s="764"/>
      <c r="AH132" s="764"/>
      <c r="AI132" s="764"/>
      <c r="AJ132" s="764"/>
      <c r="AK132" s="714"/>
      <c r="AL132" s="715"/>
    </row>
    <row r="133" spans="1:39" s="29" customFormat="1" ht="15" customHeight="1">
      <c r="A133" s="814" t="s">
        <v>169</v>
      </c>
      <c r="B133" s="764"/>
      <c r="C133" s="764"/>
      <c r="D133" s="764"/>
      <c r="E133" s="764"/>
      <c r="F133" s="764"/>
      <c r="G133" s="764"/>
      <c r="H133" s="764"/>
      <c r="I133" s="764"/>
      <c r="J133" s="764"/>
      <c r="K133" s="764"/>
      <c r="L133" s="764"/>
      <c r="M133" s="764"/>
      <c r="N133" s="764"/>
      <c r="O133" s="764"/>
      <c r="P133" s="764"/>
      <c r="Q133" s="764"/>
      <c r="R133" s="764"/>
      <c r="S133" s="764"/>
      <c r="T133" s="764"/>
      <c r="U133" s="764"/>
      <c r="V133" s="764"/>
      <c r="W133" s="764"/>
      <c r="X133" s="764"/>
      <c r="Y133" s="764"/>
      <c r="Z133" s="764"/>
      <c r="AA133" s="764"/>
      <c r="AB133" s="764"/>
      <c r="AC133" s="764"/>
      <c r="AD133" s="764"/>
      <c r="AE133" s="764"/>
      <c r="AF133" s="764"/>
      <c r="AG133" s="764"/>
      <c r="AH133" s="764"/>
      <c r="AI133" s="764"/>
      <c r="AJ133" s="764"/>
      <c r="AK133" s="714"/>
      <c r="AL133" s="715"/>
    </row>
    <row r="134" spans="1:39" s="29" customFormat="1" ht="15" customHeight="1">
      <c r="A134" s="763" t="s">
        <v>170</v>
      </c>
      <c r="B134" s="764"/>
      <c r="C134" s="764"/>
      <c r="D134" s="764"/>
      <c r="E134" s="764"/>
      <c r="F134" s="764"/>
      <c r="G134" s="764"/>
      <c r="H134" s="764"/>
      <c r="I134" s="764"/>
      <c r="J134" s="764"/>
      <c r="K134" s="764"/>
      <c r="L134" s="764"/>
      <c r="M134" s="764"/>
      <c r="N134" s="764"/>
      <c r="O134" s="764"/>
      <c r="P134" s="764"/>
      <c r="Q134" s="764"/>
      <c r="R134" s="764"/>
      <c r="S134" s="764"/>
      <c r="T134" s="764"/>
      <c r="U134" s="764"/>
      <c r="V134" s="764"/>
      <c r="W134" s="764"/>
      <c r="X134" s="764"/>
      <c r="Y134" s="764"/>
      <c r="Z134" s="764"/>
      <c r="AA134" s="764"/>
      <c r="AB134" s="764"/>
      <c r="AC134" s="764"/>
      <c r="AD134" s="764"/>
      <c r="AE134" s="764"/>
      <c r="AF134" s="764"/>
      <c r="AG134" s="764"/>
      <c r="AH134" s="764"/>
      <c r="AI134" s="764"/>
      <c r="AJ134" s="764"/>
      <c r="AK134" s="714"/>
      <c r="AL134" s="715"/>
    </row>
    <row r="135" spans="1:39" s="29" customFormat="1" ht="15" customHeight="1">
      <c r="A135" s="763" t="s">
        <v>171</v>
      </c>
      <c r="B135" s="764"/>
      <c r="C135" s="764"/>
      <c r="D135" s="764"/>
      <c r="E135" s="764"/>
      <c r="F135" s="764"/>
      <c r="G135" s="764"/>
      <c r="H135" s="764"/>
      <c r="I135" s="764"/>
      <c r="J135" s="764"/>
      <c r="K135" s="764"/>
      <c r="L135" s="764"/>
      <c r="M135" s="764"/>
      <c r="N135" s="764"/>
      <c r="O135" s="764"/>
      <c r="P135" s="764"/>
      <c r="Q135" s="764"/>
      <c r="R135" s="764"/>
      <c r="S135" s="764"/>
      <c r="T135" s="764"/>
      <c r="U135" s="764"/>
      <c r="V135" s="764"/>
      <c r="W135" s="764"/>
      <c r="X135" s="764"/>
      <c r="Y135" s="764"/>
      <c r="Z135" s="764"/>
      <c r="AA135" s="764"/>
      <c r="AB135" s="764"/>
      <c r="AC135" s="764"/>
      <c r="AD135" s="764"/>
      <c r="AE135" s="764"/>
      <c r="AF135" s="764"/>
      <c r="AG135" s="764"/>
      <c r="AH135" s="764"/>
      <c r="AI135" s="764"/>
      <c r="AJ135" s="764"/>
      <c r="AK135" s="714"/>
      <c r="AL135" s="715"/>
    </row>
    <row r="136" spans="1:39" s="29" customFormat="1" ht="15" customHeight="1">
      <c r="A136" s="763" t="s">
        <v>172</v>
      </c>
      <c r="B136" s="764"/>
      <c r="C136" s="764"/>
      <c r="D136" s="764"/>
      <c r="E136" s="764"/>
      <c r="F136" s="764"/>
      <c r="G136" s="764"/>
      <c r="H136" s="764"/>
      <c r="I136" s="764"/>
      <c r="J136" s="764"/>
      <c r="K136" s="764"/>
      <c r="L136" s="764"/>
      <c r="M136" s="764"/>
      <c r="N136" s="764"/>
      <c r="O136" s="764"/>
      <c r="P136" s="764"/>
      <c r="Q136" s="764"/>
      <c r="R136" s="764"/>
      <c r="S136" s="764"/>
      <c r="T136" s="764"/>
      <c r="U136" s="764"/>
      <c r="V136" s="764"/>
      <c r="W136" s="764"/>
      <c r="X136" s="764"/>
      <c r="Y136" s="764"/>
      <c r="Z136" s="764"/>
      <c r="AA136" s="764"/>
      <c r="AB136" s="764"/>
      <c r="AC136" s="764"/>
      <c r="AD136" s="764"/>
      <c r="AE136" s="764"/>
      <c r="AF136" s="764"/>
      <c r="AG136" s="764"/>
      <c r="AH136" s="764"/>
      <c r="AI136" s="764"/>
      <c r="AJ136" s="764"/>
      <c r="AK136" s="714"/>
      <c r="AL136" s="715"/>
    </row>
    <row r="137" spans="1:39" s="29" customFormat="1" ht="30" customHeight="1">
      <c r="A137" s="763" t="s">
        <v>173</v>
      </c>
      <c r="B137" s="764"/>
      <c r="C137" s="764"/>
      <c r="D137" s="764"/>
      <c r="E137" s="764"/>
      <c r="F137" s="764"/>
      <c r="G137" s="764"/>
      <c r="H137" s="764"/>
      <c r="I137" s="764"/>
      <c r="J137" s="764"/>
      <c r="K137" s="764"/>
      <c r="L137" s="764"/>
      <c r="M137" s="764"/>
      <c r="N137" s="764"/>
      <c r="O137" s="764"/>
      <c r="P137" s="764"/>
      <c r="Q137" s="764"/>
      <c r="R137" s="764"/>
      <c r="S137" s="764"/>
      <c r="T137" s="764"/>
      <c r="U137" s="764"/>
      <c r="V137" s="764"/>
      <c r="W137" s="764"/>
      <c r="X137" s="764"/>
      <c r="Y137" s="764"/>
      <c r="Z137" s="764"/>
      <c r="AA137" s="764"/>
      <c r="AB137" s="764"/>
      <c r="AC137" s="764"/>
      <c r="AD137" s="764"/>
      <c r="AE137" s="764"/>
      <c r="AF137" s="764"/>
      <c r="AG137" s="764"/>
      <c r="AH137" s="764"/>
      <c r="AI137" s="764"/>
      <c r="AJ137" s="764"/>
      <c r="AK137" s="714"/>
      <c r="AL137" s="715"/>
    </row>
    <row r="138" spans="1:39" s="29" customFormat="1" ht="60" customHeight="1">
      <c r="A138" s="807" t="s">
        <v>174</v>
      </c>
      <c r="B138" s="808"/>
      <c r="C138" s="808"/>
      <c r="D138" s="808"/>
      <c r="E138" s="808"/>
      <c r="F138" s="808"/>
      <c r="G138" s="808"/>
      <c r="H138" s="808"/>
      <c r="I138" s="808"/>
      <c r="J138" s="808"/>
      <c r="K138" s="808"/>
      <c r="L138" s="808"/>
      <c r="M138" s="808"/>
      <c r="N138" s="808"/>
      <c r="O138" s="808"/>
      <c r="P138" s="808"/>
      <c r="Q138" s="808"/>
      <c r="R138" s="808"/>
      <c r="S138" s="808"/>
      <c r="T138" s="808"/>
      <c r="U138" s="808"/>
      <c r="V138" s="808"/>
      <c r="W138" s="808"/>
      <c r="X138" s="808"/>
      <c r="Y138" s="808"/>
      <c r="Z138" s="808"/>
      <c r="AA138" s="808"/>
      <c r="AB138" s="808"/>
      <c r="AC138" s="808"/>
      <c r="AD138" s="808"/>
      <c r="AE138" s="808"/>
      <c r="AF138" s="808"/>
      <c r="AG138" s="808"/>
      <c r="AH138" s="808"/>
      <c r="AI138" s="808"/>
      <c r="AJ138" s="809"/>
      <c r="AK138" s="714"/>
      <c r="AL138" s="715"/>
    </row>
    <row r="139" spans="1:39" s="29" customFormat="1" ht="30" customHeight="1">
      <c r="A139" s="760" t="s">
        <v>152</v>
      </c>
      <c r="B139" s="761"/>
      <c r="C139" s="762"/>
      <c r="D139" s="810" t="s">
        <v>175</v>
      </c>
      <c r="E139" s="761"/>
      <c r="F139" s="761"/>
      <c r="G139" s="761"/>
      <c r="H139" s="761"/>
      <c r="I139" s="761"/>
      <c r="J139" s="761"/>
      <c r="K139" s="762"/>
      <c r="L139" s="810" t="s">
        <v>176</v>
      </c>
      <c r="M139" s="761"/>
      <c r="N139" s="761"/>
      <c r="O139" s="761"/>
      <c r="P139" s="761"/>
      <c r="Q139" s="761"/>
      <c r="R139" s="761"/>
      <c r="S139" s="761"/>
      <c r="T139" s="761"/>
      <c r="U139" s="761"/>
      <c r="V139" s="761"/>
      <c r="W139" s="761"/>
      <c r="X139" s="761"/>
      <c r="Y139" s="761"/>
      <c r="Z139" s="761"/>
      <c r="AA139" s="761"/>
      <c r="AB139" s="761"/>
      <c r="AC139" s="761"/>
      <c r="AD139" s="761"/>
      <c r="AE139" s="761"/>
      <c r="AF139" s="811" t="s">
        <v>112</v>
      </c>
      <c r="AG139" s="812"/>
      <c r="AH139" s="812"/>
      <c r="AI139" s="812"/>
      <c r="AJ139" s="813"/>
      <c r="AK139" s="714"/>
      <c r="AL139" s="715"/>
    </row>
    <row r="140" spans="1:39" s="29" customFormat="1" ht="15" customHeight="1">
      <c r="A140" s="654" t="s">
        <v>177</v>
      </c>
      <c r="B140" s="808"/>
      <c r="C140" s="808"/>
      <c r="D140" s="808"/>
      <c r="E140" s="808"/>
      <c r="F140" s="808"/>
      <c r="G140" s="808"/>
      <c r="H140" s="808"/>
      <c r="I140" s="808"/>
      <c r="J140" s="808"/>
      <c r="K140" s="808"/>
      <c r="L140" s="808"/>
      <c r="M140" s="808"/>
      <c r="N140" s="808"/>
      <c r="O140" s="808"/>
      <c r="P140" s="808"/>
      <c r="Q140" s="808"/>
      <c r="R140" s="808"/>
      <c r="S140" s="808"/>
      <c r="T140" s="808"/>
      <c r="U140" s="808"/>
      <c r="V140" s="808"/>
      <c r="W140" s="808"/>
      <c r="X140" s="808"/>
      <c r="Y140" s="808"/>
      <c r="Z140" s="808"/>
      <c r="AA140" s="808"/>
      <c r="AB140" s="808"/>
      <c r="AC140" s="808"/>
      <c r="AD140" s="808"/>
      <c r="AE140" s="808"/>
      <c r="AF140" s="808"/>
      <c r="AG140" s="808"/>
      <c r="AH140" s="808"/>
      <c r="AI140" s="808"/>
      <c r="AJ140" s="809"/>
      <c r="AK140" s="714"/>
      <c r="AL140" s="715"/>
    </row>
    <row r="141" spans="1:39" ht="45" customHeight="1">
      <c r="A141" s="630"/>
      <c r="B141" s="631"/>
      <c r="C141" s="631"/>
      <c r="D141" s="631"/>
      <c r="E141" s="631"/>
      <c r="F141" s="631"/>
      <c r="G141" s="631"/>
      <c r="H141" s="631"/>
      <c r="I141" s="631"/>
      <c r="J141" s="631"/>
      <c r="K141" s="631"/>
      <c r="L141" s="631"/>
      <c r="M141" s="631"/>
      <c r="N141" s="631"/>
      <c r="O141" s="631"/>
      <c r="P141" s="631"/>
      <c r="Q141" s="631"/>
      <c r="R141" s="631"/>
      <c r="S141" s="631"/>
      <c r="T141" s="631"/>
      <c r="U141" s="631"/>
      <c r="V141" s="631"/>
      <c r="W141" s="631"/>
      <c r="X141" s="631"/>
      <c r="Y141" s="631"/>
      <c r="Z141" s="631"/>
      <c r="AA141" s="631"/>
      <c r="AB141" s="631"/>
      <c r="AC141" s="631"/>
      <c r="AD141" s="631"/>
      <c r="AE141" s="631"/>
      <c r="AF141" s="631"/>
      <c r="AG141" s="631"/>
      <c r="AH141" s="631"/>
      <c r="AI141" s="631"/>
      <c r="AJ141" s="631"/>
      <c r="AK141" s="631"/>
      <c r="AL141" s="632"/>
    </row>
    <row r="142" spans="1:39" s="29" customFormat="1" ht="15" customHeight="1" thickBot="1">
      <c r="A142" s="887" t="s">
        <v>178</v>
      </c>
      <c r="B142" s="888"/>
      <c r="C142" s="888"/>
      <c r="D142" s="888"/>
      <c r="E142" s="888"/>
      <c r="F142" s="888"/>
      <c r="G142" s="888"/>
      <c r="H142" s="888"/>
      <c r="I142" s="888"/>
      <c r="J142" s="888"/>
      <c r="K142" s="888"/>
      <c r="L142" s="888"/>
      <c r="M142" s="888"/>
      <c r="N142" s="888"/>
      <c r="O142" s="888"/>
      <c r="P142" s="888"/>
      <c r="Q142" s="888"/>
      <c r="R142" s="888"/>
      <c r="S142" s="888"/>
      <c r="T142" s="888"/>
      <c r="U142" s="888"/>
      <c r="V142" s="888"/>
      <c r="W142" s="888"/>
      <c r="X142" s="888"/>
      <c r="Y142" s="888"/>
      <c r="Z142" s="888"/>
      <c r="AA142" s="888"/>
      <c r="AB142" s="888"/>
      <c r="AC142" s="888"/>
      <c r="AD142" s="888"/>
      <c r="AE142" s="888"/>
      <c r="AF142" s="888"/>
      <c r="AG142" s="888"/>
      <c r="AH142" s="888"/>
      <c r="AI142" s="888"/>
      <c r="AJ142" s="889"/>
      <c r="AK142" s="890"/>
      <c r="AL142" s="891"/>
    </row>
    <row r="144" spans="1:39" ht="75" customHeight="1"/>
    <row r="145" ht="13.5" customHeight="1"/>
    <row r="146" ht="15" customHeight="1"/>
    <row r="147" ht="75" customHeight="1"/>
  </sheetData>
  <sheetProtection algorithmName="SHA-512" hashValue="+YjVQ0ATfTppPAcdY+7x8i4R3pi8k/LNw+pjAuFVgKBTj32Kfzc8TGvCDNJQEBm84B6BRjlZcgHLp59FIYGYJA==" saltValue="YS/ghCC2wUJmqaJ8DUlpBQ==" spinCount="100000" sheet="1" formatCells="0" formatRows="0"/>
  <mergeCells count="561">
    <mergeCell ref="AK120:AL120"/>
    <mergeCell ref="A121:C121"/>
    <mergeCell ref="AK121:AL121"/>
    <mergeCell ref="AF120:AJ120"/>
    <mergeCell ref="AF121:AJ121"/>
    <mergeCell ref="D120:K120"/>
    <mergeCell ref="D121:K121"/>
    <mergeCell ref="L120:AE120"/>
    <mergeCell ref="L121:AE121"/>
    <mergeCell ref="A142:AJ142"/>
    <mergeCell ref="AK142:AL142"/>
    <mergeCell ref="A10:AL10"/>
    <mergeCell ref="A5:AL5"/>
    <mergeCell ref="A7:AL7"/>
    <mergeCell ref="A9:AL9"/>
    <mergeCell ref="A6:AL6"/>
    <mergeCell ref="A33:E33"/>
    <mergeCell ref="F33:H33"/>
    <mergeCell ref="I33:K33"/>
    <mergeCell ref="L33:N33"/>
    <mergeCell ref="O33:Q33"/>
    <mergeCell ref="R33:T33"/>
    <mergeCell ref="U33:W33"/>
    <mergeCell ref="X33:Z33"/>
    <mergeCell ref="AA33:AC33"/>
    <mergeCell ref="A30:D30"/>
    <mergeCell ref="E30:R30"/>
    <mergeCell ref="E29:AL29"/>
    <mergeCell ref="A29:D29"/>
    <mergeCell ref="F32:H32"/>
    <mergeCell ref="I32:K32"/>
    <mergeCell ref="L32:N32"/>
    <mergeCell ref="A120:C120"/>
    <mergeCell ref="A140:AJ140"/>
    <mergeCell ref="AK140:AL140"/>
    <mergeCell ref="A141:AL141"/>
    <mergeCell ref="A139:C139"/>
    <mergeCell ref="D139:K139"/>
    <mergeCell ref="L139:AE139"/>
    <mergeCell ref="AF139:AJ139"/>
    <mergeCell ref="AK139:AL139"/>
    <mergeCell ref="D115:O115"/>
    <mergeCell ref="A136:AJ136"/>
    <mergeCell ref="AK135:AL135"/>
    <mergeCell ref="A135:AJ135"/>
    <mergeCell ref="AK136:AL136"/>
    <mergeCell ref="A137:AJ137"/>
    <mergeCell ref="AF127:AJ127"/>
    <mergeCell ref="AK127:AL127"/>
    <mergeCell ref="A128:AJ128"/>
    <mergeCell ref="AK128:AL128"/>
    <mergeCell ref="D127:K127"/>
    <mergeCell ref="L127:AE127"/>
    <mergeCell ref="A125:AJ125"/>
    <mergeCell ref="AK125:AL125"/>
    <mergeCell ref="A117:AL117"/>
    <mergeCell ref="A118:AL118"/>
    <mergeCell ref="D48:Z48"/>
    <mergeCell ref="D57:Z57"/>
    <mergeCell ref="A72:C72"/>
    <mergeCell ref="D72:Z72"/>
    <mergeCell ref="AA72:AD72"/>
    <mergeCell ref="AE72:AL72"/>
    <mergeCell ref="A113:B113"/>
    <mergeCell ref="C113:G113"/>
    <mergeCell ref="H113:I113"/>
    <mergeCell ref="J113:U113"/>
    <mergeCell ref="W113:AC113"/>
    <mergeCell ref="AD113:AE113"/>
    <mergeCell ref="AF113:AG113"/>
    <mergeCell ref="AI113:AL113"/>
    <mergeCell ref="A104:B104"/>
    <mergeCell ref="C104:G104"/>
    <mergeCell ref="A93:AL93"/>
    <mergeCell ref="A94:C94"/>
    <mergeCell ref="D94:O94"/>
    <mergeCell ref="P94:S94"/>
    <mergeCell ref="T94:AA94"/>
    <mergeCell ref="AB94:AD94"/>
    <mergeCell ref="H104:I104"/>
    <mergeCell ref="AF110:AG110"/>
    <mergeCell ref="AE97:AL97"/>
    <mergeCell ref="A98:B98"/>
    <mergeCell ref="C101:G101"/>
    <mergeCell ref="H101:I101"/>
    <mergeCell ref="AE100:AL100"/>
    <mergeCell ref="J101:U101"/>
    <mergeCell ref="W101:AC101"/>
    <mergeCell ref="AD101:AE101"/>
    <mergeCell ref="AF101:AG101"/>
    <mergeCell ref="AI101:AL101"/>
    <mergeCell ref="AD98:AE98"/>
    <mergeCell ref="AF98:AG98"/>
    <mergeCell ref="A97:C97"/>
    <mergeCell ref="D97:O97"/>
    <mergeCell ref="P97:S97"/>
    <mergeCell ref="C98:G98"/>
    <mergeCell ref="H98:I98"/>
    <mergeCell ref="J98:U98"/>
    <mergeCell ref="W98:AC98"/>
    <mergeCell ref="AE94:AL94"/>
    <mergeCell ref="A87:AL87"/>
    <mergeCell ref="J104:U104"/>
    <mergeCell ref="W104:AC104"/>
    <mergeCell ref="AD104:AE104"/>
    <mergeCell ref="D80:K80"/>
    <mergeCell ref="L80:AE80"/>
    <mergeCell ref="AG74:AH74"/>
    <mergeCell ref="AI74:AL74"/>
    <mergeCell ref="A95:B95"/>
    <mergeCell ref="C95:G95"/>
    <mergeCell ref="H95:I95"/>
    <mergeCell ref="J95:U95"/>
    <mergeCell ref="W95:AC95"/>
    <mergeCell ref="AD95:AE95"/>
    <mergeCell ref="AF95:AG95"/>
    <mergeCell ref="AC76:AD76"/>
    <mergeCell ref="A103:C103"/>
    <mergeCell ref="AI95:AL95"/>
    <mergeCell ref="A96:AL96"/>
    <mergeCell ref="AF104:AG104"/>
    <mergeCell ref="AI104:AL104"/>
    <mergeCell ref="A101:B101"/>
    <mergeCell ref="AB97:AD97"/>
    <mergeCell ref="AE76:AG76"/>
    <mergeCell ref="A68:C68"/>
    <mergeCell ref="D68:K68"/>
    <mergeCell ref="L68:AE68"/>
    <mergeCell ref="AF68:AJ68"/>
    <mergeCell ref="AK68:AL68"/>
    <mergeCell ref="A69:C69"/>
    <mergeCell ref="D69:K69"/>
    <mergeCell ref="L69:AE69"/>
    <mergeCell ref="AF69:AJ69"/>
    <mergeCell ref="AK69:AL69"/>
    <mergeCell ref="A75:C75"/>
    <mergeCell ref="A71:AL71"/>
    <mergeCell ref="A70:C70"/>
    <mergeCell ref="D70:K70"/>
    <mergeCell ref="L70:AE70"/>
    <mergeCell ref="AF70:AJ70"/>
    <mergeCell ref="AK70:AL70"/>
    <mergeCell ref="A66:C66"/>
    <mergeCell ref="D66:K66"/>
    <mergeCell ref="L66:AE66"/>
    <mergeCell ref="AF66:AJ66"/>
    <mergeCell ref="AK66:AL66"/>
    <mergeCell ref="A67:C67"/>
    <mergeCell ref="D67:K67"/>
    <mergeCell ref="L67:AE67"/>
    <mergeCell ref="AF67:AJ67"/>
    <mergeCell ref="AK67:AL67"/>
    <mergeCell ref="A64:C64"/>
    <mergeCell ref="D64:K64"/>
    <mergeCell ref="L64:AE64"/>
    <mergeCell ref="AF64:AJ64"/>
    <mergeCell ref="AK64:AL64"/>
    <mergeCell ref="A65:C65"/>
    <mergeCell ref="D65:K65"/>
    <mergeCell ref="L65:AE65"/>
    <mergeCell ref="AF65:AJ65"/>
    <mergeCell ref="AK65:AL65"/>
    <mergeCell ref="A62:C62"/>
    <mergeCell ref="D62:K62"/>
    <mergeCell ref="L62:AE62"/>
    <mergeCell ref="AF62:AJ62"/>
    <mergeCell ref="AK62:AL62"/>
    <mergeCell ref="A60:C60"/>
    <mergeCell ref="A63:C63"/>
    <mergeCell ref="D63:K63"/>
    <mergeCell ref="L63:AE63"/>
    <mergeCell ref="AF63:AJ63"/>
    <mergeCell ref="AK63:AL63"/>
    <mergeCell ref="A61:B61"/>
    <mergeCell ref="C61:U61"/>
    <mergeCell ref="W61:AB61"/>
    <mergeCell ref="AC61:AD61"/>
    <mergeCell ref="AE61:AG61"/>
    <mergeCell ref="AI61:AL61"/>
    <mergeCell ref="AG60:AH60"/>
    <mergeCell ref="AI60:AL60"/>
    <mergeCell ref="V59:W59"/>
    <mergeCell ref="AG59:AH59"/>
    <mergeCell ref="AI59:AL59"/>
    <mergeCell ref="X51:AF51"/>
    <mergeCell ref="AG51:AH51"/>
    <mergeCell ref="AI51:AL51"/>
    <mergeCell ref="A55:C55"/>
    <mergeCell ref="D55:K55"/>
    <mergeCell ref="A58:B58"/>
    <mergeCell ref="D54:K54"/>
    <mergeCell ref="A52:B52"/>
    <mergeCell ref="AB45:AD45"/>
    <mergeCell ref="A76:B76"/>
    <mergeCell ref="A77:C77"/>
    <mergeCell ref="AE48:AL48"/>
    <mergeCell ref="A49:B49"/>
    <mergeCell ref="C49:U49"/>
    <mergeCell ref="W49:AB49"/>
    <mergeCell ref="AC49:AD49"/>
    <mergeCell ref="AI52:AL52"/>
    <mergeCell ref="A53:C53"/>
    <mergeCell ref="D53:K53"/>
    <mergeCell ref="L53:AE53"/>
    <mergeCell ref="AF53:AJ53"/>
    <mergeCell ref="AK53:AL53"/>
    <mergeCell ref="A54:C54"/>
    <mergeCell ref="AA48:AD48"/>
    <mergeCell ref="AI76:AL76"/>
    <mergeCell ref="D74:L74"/>
    <mergeCell ref="N74:U74"/>
    <mergeCell ref="V74:W74"/>
    <mergeCell ref="X74:AF74"/>
    <mergeCell ref="A59:C59"/>
    <mergeCell ref="D59:L59"/>
    <mergeCell ref="N59:U59"/>
    <mergeCell ref="AE49:AG49"/>
    <mergeCell ref="AI49:AL49"/>
    <mergeCell ref="C58:U58"/>
    <mergeCell ref="W58:AB58"/>
    <mergeCell ref="AC58:AD58"/>
    <mergeCell ref="AE58:AG58"/>
    <mergeCell ref="AI58:AL58"/>
    <mergeCell ref="L54:AE54"/>
    <mergeCell ref="AF54:AJ54"/>
    <mergeCell ref="AK54:AL54"/>
    <mergeCell ref="A56:AL56"/>
    <mergeCell ref="A50:C50"/>
    <mergeCell ref="D50:L50"/>
    <mergeCell ref="N50:U50"/>
    <mergeCell ref="V50:W50"/>
    <mergeCell ref="X50:AF50"/>
    <mergeCell ref="AG50:AH50"/>
    <mergeCell ref="AI50:AL50"/>
    <mergeCell ref="A51:C51"/>
    <mergeCell ref="D51:L51"/>
    <mergeCell ref="N51:U51"/>
    <mergeCell ref="V51:W51"/>
    <mergeCell ref="AF92:AG92"/>
    <mergeCell ref="A86:AL86"/>
    <mergeCell ref="A84:C84"/>
    <mergeCell ref="D84:K84"/>
    <mergeCell ref="L84:AE84"/>
    <mergeCell ref="AF84:AJ84"/>
    <mergeCell ref="AK84:AL84"/>
    <mergeCell ref="A85:C85"/>
    <mergeCell ref="D85:K85"/>
    <mergeCell ref="L85:AE85"/>
    <mergeCell ref="AF85:AJ85"/>
    <mergeCell ref="AD92:AE92"/>
    <mergeCell ref="AI92:AL92"/>
    <mergeCell ref="A90:AL90"/>
    <mergeCell ref="AB91:AD91"/>
    <mergeCell ref="AE91:AL91"/>
    <mergeCell ref="A92:B92"/>
    <mergeCell ref="C92:G92"/>
    <mergeCell ref="H92:I92"/>
    <mergeCell ref="J92:U92"/>
    <mergeCell ref="W92:AC92"/>
    <mergeCell ref="D91:O91"/>
    <mergeCell ref="P91:S91"/>
    <mergeCell ref="T91:AA91"/>
    <mergeCell ref="AF83:AJ83"/>
    <mergeCell ref="AK83:AL83"/>
    <mergeCell ref="C76:U76"/>
    <mergeCell ref="W76:AB76"/>
    <mergeCell ref="P88:S88"/>
    <mergeCell ref="T88:AA88"/>
    <mergeCell ref="AB88:AD88"/>
    <mergeCell ref="AE88:AL88"/>
    <mergeCell ref="A89:B89"/>
    <mergeCell ref="C89:G89"/>
    <mergeCell ref="H89:I89"/>
    <mergeCell ref="J89:U89"/>
    <mergeCell ref="W89:AC89"/>
    <mergeCell ref="AD89:AE89"/>
    <mergeCell ref="A88:C88"/>
    <mergeCell ref="AF89:AG89"/>
    <mergeCell ref="AI89:AL89"/>
    <mergeCell ref="D78:K78"/>
    <mergeCell ref="L78:AE78"/>
    <mergeCell ref="AF78:AJ78"/>
    <mergeCell ref="AK78:AL78"/>
    <mergeCell ref="AF80:AJ80"/>
    <mergeCell ref="AK80:AL80"/>
    <mergeCell ref="AF79:AJ79"/>
    <mergeCell ref="AK79:AL79"/>
    <mergeCell ref="A80:C80"/>
    <mergeCell ref="D88:O88"/>
    <mergeCell ref="A99:AL99"/>
    <mergeCell ref="A100:C100"/>
    <mergeCell ref="D100:O100"/>
    <mergeCell ref="P100:S100"/>
    <mergeCell ref="T100:AA100"/>
    <mergeCell ref="AB100:AD100"/>
    <mergeCell ref="AK85:AL85"/>
    <mergeCell ref="A81:C81"/>
    <mergeCell ref="D81:K81"/>
    <mergeCell ref="L81:AE81"/>
    <mergeCell ref="AF81:AJ81"/>
    <mergeCell ref="AK81:AL81"/>
    <mergeCell ref="A82:C82"/>
    <mergeCell ref="D82:K82"/>
    <mergeCell ref="L82:AE82"/>
    <mergeCell ref="AF82:AJ82"/>
    <mergeCell ref="AK82:AL82"/>
    <mergeCell ref="A83:C83"/>
    <mergeCell ref="D83:K83"/>
    <mergeCell ref="L83:AE83"/>
    <mergeCell ref="T97:AA97"/>
    <mergeCell ref="AE44:AL44"/>
    <mergeCell ref="D75:L75"/>
    <mergeCell ref="N75:U75"/>
    <mergeCell ref="V75:W75"/>
    <mergeCell ref="X75:AF75"/>
    <mergeCell ref="AF77:AJ77"/>
    <mergeCell ref="AK77:AL77"/>
    <mergeCell ref="AA57:AD57"/>
    <mergeCell ref="AE57:AL57"/>
    <mergeCell ref="D77:K77"/>
    <mergeCell ref="L77:AE77"/>
    <mergeCell ref="D60:L60"/>
    <mergeCell ref="N60:U60"/>
    <mergeCell ref="V60:W60"/>
    <mergeCell ref="X60:AF60"/>
    <mergeCell ref="X59:AF59"/>
    <mergeCell ref="W52:AB52"/>
    <mergeCell ref="AC52:AD52"/>
    <mergeCell ref="AE52:AG52"/>
    <mergeCell ref="L55:AE55"/>
    <mergeCell ref="AF55:AJ55"/>
    <mergeCell ref="AK55:AL55"/>
    <mergeCell ref="A44:N44"/>
    <mergeCell ref="C52:U52"/>
    <mergeCell ref="A78:C78"/>
    <mergeCell ref="A79:C79"/>
    <mergeCell ref="D79:K79"/>
    <mergeCell ref="L79:AE79"/>
    <mergeCell ref="A46:AL46"/>
    <mergeCell ref="A48:C48"/>
    <mergeCell ref="AG75:AH75"/>
    <mergeCell ref="A4:AL4"/>
    <mergeCell ref="A40:AL40"/>
    <mergeCell ref="A39:AL39"/>
    <mergeCell ref="AE45:AL45"/>
    <mergeCell ref="A73:B73"/>
    <mergeCell ref="C73:U73"/>
    <mergeCell ref="W73:AB73"/>
    <mergeCell ref="AC73:AD73"/>
    <mergeCell ref="AE73:AG73"/>
    <mergeCell ref="AI73:AL73"/>
    <mergeCell ref="A74:C74"/>
    <mergeCell ref="AI75:AL75"/>
    <mergeCell ref="A45:N45"/>
    <mergeCell ref="O45:S45"/>
    <mergeCell ref="T45:AA45"/>
    <mergeCell ref="A57:C57"/>
    <mergeCell ref="A47:AL47"/>
    <mergeCell ref="AK137:AL137"/>
    <mergeCell ref="A138:AJ138"/>
    <mergeCell ref="AK138:AL138"/>
    <mergeCell ref="A119:AJ119"/>
    <mergeCell ref="AK119:AL119"/>
    <mergeCell ref="A122:AJ122"/>
    <mergeCell ref="AK122:AL122"/>
    <mergeCell ref="A123:C123"/>
    <mergeCell ref="D123:K123"/>
    <mergeCell ref="L123:AE123"/>
    <mergeCell ref="AF123:AJ123"/>
    <mergeCell ref="AK123:AL123"/>
    <mergeCell ref="A133:AJ133"/>
    <mergeCell ref="AK133:AL133"/>
    <mergeCell ref="A134:AJ134"/>
    <mergeCell ref="AK134:AL134"/>
    <mergeCell ref="A126:AJ126"/>
    <mergeCell ref="AK126:AL126"/>
    <mergeCell ref="A130:AL130"/>
    <mergeCell ref="A131:AL131"/>
    <mergeCell ref="A132:AJ132"/>
    <mergeCell ref="AK132:AL132"/>
    <mergeCell ref="A129:AJ129"/>
    <mergeCell ref="AK129:AL129"/>
    <mergeCell ref="A110:B110"/>
    <mergeCell ref="C110:G110"/>
    <mergeCell ref="H110:I110"/>
    <mergeCell ref="J110:U110"/>
    <mergeCell ref="W110:AC110"/>
    <mergeCell ref="AF107:AG107"/>
    <mergeCell ref="P106:S106"/>
    <mergeCell ref="T106:AA106"/>
    <mergeCell ref="AB106:AD106"/>
    <mergeCell ref="AE106:AL106"/>
    <mergeCell ref="A107:B107"/>
    <mergeCell ref="D103:O103"/>
    <mergeCell ref="A116:B116"/>
    <mergeCell ref="C116:G116"/>
    <mergeCell ref="H116:I116"/>
    <mergeCell ref="J116:U116"/>
    <mergeCell ref="W116:AC116"/>
    <mergeCell ref="AD116:AE116"/>
    <mergeCell ref="P109:S109"/>
    <mergeCell ref="C107:G107"/>
    <mergeCell ref="H107:I107"/>
    <mergeCell ref="J107:U107"/>
    <mergeCell ref="W107:AC107"/>
    <mergeCell ref="AD107:AE107"/>
    <mergeCell ref="A112:C112"/>
    <mergeCell ref="AE115:AL115"/>
    <mergeCell ref="AD110:AE110"/>
    <mergeCell ref="AI110:AL110"/>
    <mergeCell ref="D112:O112"/>
    <mergeCell ref="A115:C115"/>
    <mergeCell ref="AI107:AL107"/>
    <mergeCell ref="AF116:AG116"/>
    <mergeCell ref="AI116:AL116"/>
    <mergeCell ref="A109:C109"/>
    <mergeCell ref="D109:O109"/>
    <mergeCell ref="A127:C127"/>
    <mergeCell ref="A124:AJ124"/>
    <mergeCell ref="AK124:AL124"/>
    <mergeCell ref="P115:S115"/>
    <mergeCell ref="T115:AA115"/>
    <mergeCell ref="AB115:AD115"/>
    <mergeCell ref="O44:S44"/>
    <mergeCell ref="T44:AA44"/>
    <mergeCell ref="AB44:AD44"/>
    <mergeCell ref="T109:AA109"/>
    <mergeCell ref="AB109:AD109"/>
    <mergeCell ref="AE109:AL109"/>
    <mergeCell ref="P112:S112"/>
    <mergeCell ref="T112:AA112"/>
    <mergeCell ref="AB112:AD112"/>
    <mergeCell ref="AE112:AL112"/>
    <mergeCell ref="AI98:AL98"/>
    <mergeCell ref="D106:O106"/>
    <mergeCell ref="P103:S103"/>
    <mergeCell ref="T103:AA103"/>
    <mergeCell ref="AB103:AD103"/>
    <mergeCell ref="AE103:AL103"/>
    <mergeCell ref="A106:C106"/>
    <mergeCell ref="A91:C91"/>
    <mergeCell ref="A43:N43"/>
    <mergeCell ref="O43:S43"/>
    <mergeCell ref="T43:AA43"/>
    <mergeCell ref="AB43:AD43"/>
    <mergeCell ref="AE43:AL43"/>
    <mergeCell ref="AK3:AL3"/>
    <mergeCell ref="A3:AJ3"/>
    <mergeCell ref="A36:G36"/>
    <mergeCell ref="H34:AL34"/>
    <mergeCell ref="H36:AL36"/>
    <mergeCell ref="L31:AJ31"/>
    <mergeCell ref="AD33:AF33"/>
    <mergeCell ref="AG33:AI33"/>
    <mergeCell ref="AJ33:AL33"/>
    <mergeCell ref="AC30:AD30"/>
    <mergeCell ref="AE30:AG30"/>
    <mergeCell ref="O32:Q32"/>
    <mergeCell ref="R32:T32"/>
    <mergeCell ref="A28:AL28"/>
    <mergeCell ref="AK31:AL31"/>
    <mergeCell ref="E31:K31"/>
    <mergeCell ref="A11:AL11"/>
    <mergeCell ref="A13:AL13"/>
    <mergeCell ref="A12:AL12"/>
    <mergeCell ref="A1:AI1"/>
    <mergeCell ref="AJ1:AL1"/>
    <mergeCell ref="A41:Q41"/>
    <mergeCell ref="R41:AL41"/>
    <mergeCell ref="A42:AJ42"/>
    <mergeCell ref="AK42:AL42"/>
    <mergeCell ref="A2:AL2"/>
    <mergeCell ref="A34:G34"/>
    <mergeCell ref="U32:W32"/>
    <mergeCell ref="X32:Z32"/>
    <mergeCell ref="AA32:AC32"/>
    <mergeCell ref="AD32:AF32"/>
    <mergeCell ref="AG32:AI32"/>
    <mergeCell ref="AJ32:AL32"/>
    <mergeCell ref="A32:E32"/>
    <mergeCell ref="S30:U30"/>
    <mergeCell ref="V30:AB30"/>
    <mergeCell ref="AI30:AL30"/>
    <mergeCell ref="A14:AL14"/>
    <mergeCell ref="A8:AL8"/>
    <mergeCell ref="J23:M23"/>
    <mergeCell ref="A16:I16"/>
    <mergeCell ref="A17:I17"/>
    <mergeCell ref="A18:I18"/>
    <mergeCell ref="J22:M22"/>
    <mergeCell ref="N19:V19"/>
    <mergeCell ref="V24:X24"/>
    <mergeCell ref="A19:I19"/>
    <mergeCell ref="A22:I22"/>
    <mergeCell ref="A23:I23"/>
    <mergeCell ref="N23:V23"/>
    <mergeCell ref="W22:Z22"/>
    <mergeCell ref="W19:Z19"/>
    <mergeCell ref="W23:Z23"/>
    <mergeCell ref="N22:V22"/>
    <mergeCell ref="A24:H24"/>
    <mergeCell ref="L24:U24"/>
    <mergeCell ref="Y24:AL24"/>
    <mergeCell ref="I24:K24"/>
    <mergeCell ref="AA15:AL15"/>
    <mergeCell ref="AA16:AH16"/>
    <mergeCell ref="AA17:AH17"/>
    <mergeCell ref="AA18:AH18"/>
    <mergeCell ref="AA20:AH20"/>
    <mergeCell ref="AA21:AH21"/>
    <mergeCell ref="AA22:AH22"/>
    <mergeCell ref="AA19:AH19"/>
    <mergeCell ref="AA23:AH23"/>
    <mergeCell ref="AI16:AL16"/>
    <mergeCell ref="AI17:AL17"/>
    <mergeCell ref="AI18:AL18"/>
    <mergeCell ref="AI20:AL20"/>
    <mergeCell ref="AI21:AL21"/>
    <mergeCell ref="AI22:AL22"/>
    <mergeCell ref="AI19:AL19"/>
    <mergeCell ref="AI23:AL23"/>
    <mergeCell ref="A15:M15"/>
    <mergeCell ref="N15:Z15"/>
    <mergeCell ref="N16:V16"/>
    <mergeCell ref="W16:Z16"/>
    <mergeCell ref="N17:V17"/>
    <mergeCell ref="W17:Z17"/>
    <mergeCell ref="W18:Z18"/>
    <mergeCell ref="W20:Z20"/>
    <mergeCell ref="W21:Z21"/>
    <mergeCell ref="A21:I21"/>
    <mergeCell ref="A20:I20"/>
    <mergeCell ref="N18:V18"/>
    <mergeCell ref="N20:V20"/>
    <mergeCell ref="N21:V21"/>
    <mergeCell ref="J20:M20"/>
    <mergeCell ref="J16:M16"/>
    <mergeCell ref="J17:M17"/>
    <mergeCell ref="J18:M18"/>
    <mergeCell ref="J19:M19"/>
    <mergeCell ref="J21:M21"/>
    <mergeCell ref="A38:AL38"/>
    <mergeCell ref="A35:R35"/>
    <mergeCell ref="S35:AL35"/>
    <mergeCell ref="Z26:AA26"/>
    <mergeCell ref="AB26:AL26"/>
    <mergeCell ref="A25:J25"/>
    <mergeCell ref="M25:V25"/>
    <mergeCell ref="K25:L25"/>
    <mergeCell ref="W25:X25"/>
    <mergeCell ref="Y25:AE25"/>
    <mergeCell ref="AF25:AG25"/>
    <mergeCell ref="AH25:AL25"/>
    <mergeCell ref="S26:Y26"/>
    <mergeCell ref="A27:O27"/>
    <mergeCell ref="P27:Q27"/>
    <mergeCell ref="R27:AJ27"/>
    <mergeCell ref="AK27:AL27"/>
    <mergeCell ref="Q26:R26"/>
    <mergeCell ref="A26:P26"/>
    <mergeCell ref="A37:AL37"/>
  </mergeCells>
  <phoneticPr fontId="36" type="noConversion"/>
  <conditionalFormatting sqref="J132 AK55">
    <cfRule type="cellIs" dxfId="165" priority="202" operator="equal">
      <formula>"No"</formula>
    </cfRule>
  </conditionalFormatting>
  <conditionalFormatting sqref="J134">
    <cfRule type="cellIs" dxfId="164" priority="200" operator="equal">
      <formula>"No"</formula>
    </cfRule>
  </conditionalFormatting>
  <conditionalFormatting sqref="J133">
    <cfRule type="cellIs" dxfId="163" priority="201" operator="equal">
      <formula>"No"</formula>
    </cfRule>
  </conditionalFormatting>
  <conditionalFormatting sqref="J122">
    <cfRule type="cellIs" dxfId="162" priority="198" operator="equal">
      <formula>"No"</formula>
    </cfRule>
  </conditionalFormatting>
  <conditionalFormatting sqref="J119">
    <cfRule type="cellIs" dxfId="161" priority="199" operator="equal">
      <formula>"No"</formula>
    </cfRule>
  </conditionalFormatting>
  <conditionalFormatting sqref="J125">
    <cfRule type="cellIs" dxfId="160" priority="196" operator="equal">
      <formula>"No"</formula>
    </cfRule>
  </conditionalFormatting>
  <conditionalFormatting sqref="J124">
    <cfRule type="cellIs" dxfId="159" priority="197" operator="equal">
      <formula>"No"</formula>
    </cfRule>
  </conditionalFormatting>
  <conditionalFormatting sqref="J128">
    <cfRule type="cellIs" dxfId="158" priority="194" operator="equal">
      <formula>"No"</formula>
    </cfRule>
  </conditionalFormatting>
  <conditionalFormatting sqref="J126">
    <cfRule type="cellIs" dxfId="157" priority="195" operator="equal">
      <formula>"No"</formula>
    </cfRule>
  </conditionalFormatting>
  <conditionalFormatting sqref="J129">
    <cfRule type="cellIs" dxfId="156" priority="193" operator="equal">
      <formula>"No"</formula>
    </cfRule>
  </conditionalFormatting>
  <conditionalFormatting sqref="AK54">
    <cfRule type="cellIs" dxfId="155" priority="66" operator="equal">
      <formula>"No"</formula>
    </cfRule>
  </conditionalFormatting>
  <conditionalFormatting sqref="AK53">
    <cfRule type="cellIs" dxfId="154" priority="64" operator="equal">
      <formula>"No"</formula>
    </cfRule>
  </conditionalFormatting>
  <conditionalFormatting sqref="AK3:AL4">
    <cfRule type="cellIs" dxfId="153" priority="48" operator="equal">
      <formula>"No"</formula>
    </cfRule>
  </conditionalFormatting>
  <conditionalFormatting sqref="AK3">
    <cfRule type="cellIs" dxfId="152" priority="47" operator="equal">
      <formula>"No"</formula>
    </cfRule>
  </conditionalFormatting>
  <conditionalFormatting sqref="AK63">
    <cfRule type="cellIs" dxfId="151" priority="41" operator="equal">
      <formula>"No"</formula>
    </cfRule>
  </conditionalFormatting>
  <conditionalFormatting sqref="AK62">
    <cfRule type="cellIs" dxfId="150" priority="39" operator="equal">
      <formula>"No"</formula>
    </cfRule>
  </conditionalFormatting>
  <conditionalFormatting sqref="AK64:AK65 AK67:AK70">
    <cfRule type="cellIs" dxfId="149" priority="40" operator="equal">
      <formula>"No"</formula>
    </cfRule>
  </conditionalFormatting>
  <conditionalFormatting sqref="AK66">
    <cfRule type="cellIs" dxfId="148" priority="38" operator="equal">
      <formula>"No"</formula>
    </cfRule>
  </conditionalFormatting>
  <conditionalFormatting sqref="AK78">
    <cfRule type="cellIs" dxfId="147" priority="37" operator="equal">
      <formula>"No"</formula>
    </cfRule>
  </conditionalFormatting>
  <conditionalFormatting sqref="AK79:AK80 AK82:AK85">
    <cfRule type="cellIs" dxfId="146" priority="36" operator="equal">
      <formula>"No"</formula>
    </cfRule>
  </conditionalFormatting>
  <conditionalFormatting sqref="AK77">
    <cfRule type="cellIs" dxfId="145" priority="35" operator="equal">
      <formula>"No"</formula>
    </cfRule>
  </conditionalFormatting>
  <conditionalFormatting sqref="AK81">
    <cfRule type="cellIs" dxfId="144" priority="34" operator="equal">
      <formula>"No"</formula>
    </cfRule>
  </conditionalFormatting>
  <conditionalFormatting sqref="AK139">
    <cfRule type="cellIs" dxfId="143" priority="18" operator="equal">
      <formula>"No"</formula>
    </cfRule>
  </conditionalFormatting>
  <conditionalFormatting sqref="AK123">
    <cfRule type="cellIs" dxfId="142" priority="20" operator="equal">
      <formula>"No"</formula>
    </cfRule>
  </conditionalFormatting>
  <conditionalFormatting sqref="AK127">
    <cfRule type="cellIs" dxfId="141" priority="19" operator="equal">
      <formula>"No"</formula>
    </cfRule>
  </conditionalFormatting>
  <conditionalFormatting sqref="A6">
    <cfRule type="cellIs" dxfId="140" priority="7" operator="greaterThan">
      <formula>""</formula>
    </cfRule>
  </conditionalFormatting>
  <conditionalFormatting sqref="AK28:AL28">
    <cfRule type="cellIs" dxfId="139" priority="6" operator="equal">
      <formula>"No"</formula>
    </cfRule>
  </conditionalFormatting>
  <conditionalFormatting sqref="AK2:AL3">
    <cfRule type="cellIs" dxfId="138" priority="5" operator="equal">
      <formula>"No"</formula>
    </cfRule>
  </conditionalFormatting>
  <conditionalFormatting sqref="AK14:AL14">
    <cfRule type="cellIs" dxfId="137" priority="4" operator="equal">
      <formula>"No"</formula>
    </cfRule>
  </conditionalFormatting>
  <conditionalFormatting sqref="AK120:AK121">
    <cfRule type="cellIs" dxfId="136" priority="2" operator="equal">
      <formula>"No"</formula>
    </cfRule>
  </conditionalFormatting>
  <conditionalFormatting sqref="AK142">
    <cfRule type="cellIs" dxfId="135" priority="1" operator="equal">
      <formula>"No"</formula>
    </cfRule>
  </conditionalFormatting>
  <dataValidations count="9">
    <dataValidation type="list" allowBlank="1" showInputMessage="1" showErrorMessage="1" sqref="J124:J126 AK114:AK115 J128:J129 AK28 J132:J137 AK63 AK54 AK78 AK87:AK88 AK90:AK91 AK93:AK94 AK96:AK97 AK99:AK100 AK111:AK112 AK102:AK103 AK105:AK106 AK108:AK109 AK2:AK4 AK14 J119 J122" xr:uid="{3A2E2D35-FB3F-48AC-AA0F-B7041B3CBFD5}">
      <formula1>"Yes, No"</formula1>
    </dataValidation>
    <dataValidation type="list" allowBlank="1" showInputMessage="1" showErrorMessage="1" sqref="AK128:AL129 AK122:AL122 AK53:AL53 AK62:AL62 AK66:AL66 AK77:AL77 AK81:AL81 AK3:AL3 AK124:AL126 AK132:AL138 AK140:AL140 AK119:AL119" xr:uid="{DA819A42-3BD0-4E17-ABB2-5FF9B8C2699B}">
      <formula1>"Yes,No"</formula1>
    </dataValidation>
    <dataValidation type="list" allowBlank="1" showInputMessage="1" showErrorMessage="1" sqref="AK67:AL70 AK42:AL42 AK79:AL80 AK82:AL85 AK64:AL65 AK139:AL139 AK123:AL123 AK127:AL127 AK55:AL55 AK31:AL31 AK120:AL121 AK142:AL142" xr:uid="{6AAE5811-6CCE-4C8E-A2B1-5BE7318A2537}">
      <formula1>"Yes,No,N/A"</formula1>
    </dataValidation>
    <dataValidation type="list" allowBlank="1" showInputMessage="1" showErrorMessage="1" sqref="J38:J40 J141" xr:uid="{640C6B20-2306-48E6-9C8C-B51C67165629}">
      <formula1>#REF!</formula1>
    </dataValidation>
    <dataValidation type="list" allowBlank="1" showInputMessage="1" showErrorMessage="1" sqref="T44:AA45" xr:uid="{6C3E808F-90A7-41D9-83DC-87C404797F91}">
      <formula1>"Plan to apply,Applying concurrently,Application submitted,Funding awarded"</formula1>
    </dataValidation>
    <dataValidation type="list" allowBlank="1" showInputMessage="1" showErrorMessage="1" sqref="AE48:AL48" xr:uid="{81D34507-1CC3-4C6D-B284-CD34FB33FED9}">
      <formula1>"City,County,City and County,Housing Authority,State,Other Public Agency,Tribal Entity"</formula1>
    </dataValidation>
    <dataValidation type="list" allowBlank="1" showInputMessage="1" showErrorMessage="1" sqref="AE57:AL57 AE72:AL72" xr:uid="{21A8B5F0-04E9-4ACA-A8A2-97BD04F6A064}">
      <formula1>"City,County,City and County,Housing Authority,State,Other Public Agency,Tribal Entity,Non-profit Corp,For-profit Corp"</formula1>
    </dataValidation>
    <dataValidation type="list" allowBlank="1" showInputMessage="1" showErrorMessage="1" sqref="H36:AL36" xr:uid="{B8527F98-C566-47E3-875E-8E28CCB78D88}">
      <formula1>"Hotel,Motel,Existing multifamily,Scattered site single-family,Adaptive reuse of commercial structure,Manufactured housing,Modular housing,Other describe below"</formula1>
    </dataValidation>
    <dataValidation type="list" allowBlank="1" showInputMessage="1" showErrorMessage="1" sqref="S35" xr:uid="{06207921-A8CE-4D3A-A1CD-3F8AE2130902}">
      <formula1>"Permanent Housing,Interim Housing in Perpetuity,Interim Housing with Plan to Convert to Permanent"</formula1>
    </dataValidation>
  </dataValidations>
  <hyperlinks>
    <hyperlink ref="L31:AJ31" r:id="rId1" display="Is Project in a Rural Area per H&amp;S Code §50199.21 (use the TCAC Method for determining rural status)?" xr:uid="{6ADE9C5F-E444-48E3-B9AD-27293F87753E}"/>
    <hyperlink ref="A12:AL12" r:id="rId2" display="Please don’t hesitate to contact us with any questions or if you need assistance in completing this application.  Email questions to: homekey@hcd.ca.gov." xr:uid="{DB40C32C-420E-4CD1-8BF5-F07C1CE50C2F}"/>
    <hyperlink ref="A13:AL13" r:id="rId3" display="For application specific assistance complete the 'App Support' worksheet &amp; email the application to: appsupport@hcd.ca.gov" xr:uid="{332DAC3C-6EBC-4561-9BB5-790A53EC7D10}"/>
  </hyperlinks>
  <printOptions horizontalCentered="1"/>
  <pageMargins left="0.25" right="0.25" top="0.5" bottom="0.3" header="0" footer="0"/>
  <pageSetup scale="63" fitToHeight="4" orientation="portrait" horizontalDpi="300" verticalDpi="300" r:id="rId4"/>
  <headerFooter scaleWithDoc="0" alignWithMargins="0">
    <oddFooter>&amp;L&amp;9Homekey Round 2&amp;C&amp;9Page &amp;P of &amp;N&amp;R&amp;"Arial,Italic"&amp;9&amp;A</oddFooter>
  </headerFooter>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1468D5E9-BFFD-40C3-BFF2-91FD09823273}">
          <x14:formula1>
            <xm:f>'Drop Down'!$D$1:$D$58</xm:f>
          </x14:formula1>
          <xm:sqref>E31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FEE8E-AA39-4A08-BE9E-CDD5E23AFCDF}">
  <sheetPr codeName="Sheet2">
    <tabColor theme="4" tint="-0.249977111117893"/>
    <pageSetUpPr fitToPage="1"/>
  </sheetPr>
  <dimension ref="A1:AQ128"/>
  <sheetViews>
    <sheetView showGridLines="0" zoomScaleNormal="100" zoomScaleSheetLayoutView="100" workbookViewId="0">
      <selection activeCell="AK4" sqref="AK4:AL4"/>
    </sheetView>
  </sheetViews>
  <sheetFormatPr defaultColWidth="9.1796875" defaultRowHeight="14"/>
  <cols>
    <col min="1" max="37" width="4.1796875" style="27" customWidth="1"/>
    <col min="38" max="38" width="4.54296875" style="27" customWidth="1"/>
    <col min="39" max="41" width="9.1796875" style="2" hidden="1" customWidth="1"/>
    <col min="42" max="43" width="0" style="2" hidden="1" customWidth="1"/>
    <col min="44" max="16384" width="9.1796875" style="2"/>
  </cols>
  <sheetData>
    <row r="1" spans="1:40" ht="18" customHeight="1" thickBot="1">
      <c r="A1" s="702" t="s">
        <v>179</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4"/>
      <c r="AJ1" s="705">
        <f>CoverPage!B11</f>
        <v>44471</v>
      </c>
      <c r="AK1" s="706"/>
      <c r="AL1" s="707"/>
    </row>
    <row r="2" spans="1:40" customFormat="1" ht="18" customHeight="1">
      <c r="A2" s="982" t="s">
        <v>180</v>
      </c>
      <c r="B2" s="983"/>
      <c r="C2" s="983"/>
      <c r="D2" s="983"/>
      <c r="E2" s="983"/>
      <c r="F2" s="983"/>
      <c r="G2" s="983"/>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4"/>
    </row>
    <row r="3" spans="1:40" customFormat="1">
      <c r="A3" s="985" t="s">
        <v>181</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986"/>
      <c r="AJ3" s="986"/>
      <c r="AK3" s="986"/>
      <c r="AL3" s="987"/>
    </row>
    <row r="4" spans="1:40" customFormat="1" ht="30" customHeight="1">
      <c r="A4" s="960" t="s">
        <v>182</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23"/>
      <c r="AL4" s="924"/>
    </row>
    <row r="5" spans="1:40" customFormat="1" ht="15" customHeight="1">
      <c r="A5" s="960" t="s">
        <v>183</v>
      </c>
      <c r="B5" s="961"/>
      <c r="C5" s="961"/>
      <c r="D5" s="961"/>
      <c r="E5" s="961"/>
      <c r="F5" s="961"/>
      <c r="G5" s="961"/>
      <c r="H5" s="961"/>
      <c r="I5" s="961"/>
      <c r="J5" s="961"/>
      <c r="K5" s="961"/>
      <c r="L5" s="961"/>
      <c r="M5" s="961"/>
      <c r="N5" s="961"/>
      <c r="O5" s="961"/>
      <c r="P5" s="961"/>
      <c r="Q5" s="961"/>
      <c r="R5" s="961"/>
      <c r="S5" s="961"/>
      <c r="T5" s="961"/>
      <c r="U5" s="961"/>
      <c r="V5" s="961"/>
      <c r="W5" s="961"/>
      <c r="X5" s="961"/>
      <c r="Y5" s="961"/>
      <c r="Z5" s="961"/>
      <c r="AA5" s="961"/>
      <c r="AB5" s="961"/>
      <c r="AC5" s="961"/>
      <c r="AD5" s="961"/>
      <c r="AE5" s="961"/>
      <c r="AF5" s="961"/>
      <c r="AG5" s="961"/>
      <c r="AH5" s="961"/>
      <c r="AI5" s="961"/>
      <c r="AJ5" s="961"/>
      <c r="AK5" s="923"/>
      <c r="AL5" s="924"/>
    </row>
    <row r="6" spans="1:40" customFormat="1" ht="30" customHeight="1">
      <c r="A6" s="960" t="s">
        <v>184</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c r="AJ6" s="961"/>
      <c r="AK6" s="923"/>
      <c r="AL6" s="924"/>
    </row>
    <row r="7" spans="1:40" customFormat="1" ht="45" customHeight="1">
      <c r="A7" s="960" t="s">
        <v>185</v>
      </c>
      <c r="B7" s="961"/>
      <c r="C7" s="961"/>
      <c r="D7" s="961"/>
      <c r="E7" s="961"/>
      <c r="F7" s="961"/>
      <c r="G7" s="961"/>
      <c r="H7" s="961"/>
      <c r="I7" s="961"/>
      <c r="J7" s="961"/>
      <c r="K7" s="961"/>
      <c r="L7" s="961"/>
      <c r="M7" s="961"/>
      <c r="N7" s="961"/>
      <c r="O7" s="961"/>
      <c r="P7" s="961"/>
      <c r="Q7" s="961"/>
      <c r="R7" s="961"/>
      <c r="S7" s="961"/>
      <c r="T7" s="961"/>
      <c r="U7" s="961"/>
      <c r="V7" s="961"/>
      <c r="W7" s="961"/>
      <c r="X7" s="961"/>
      <c r="Y7" s="961"/>
      <c r="Z7" s="961"/>
      <c r="AA7" s="961"/>
      <c r="AB7" s="961"/>
      <c r="AC7" s="961"/>
      <c r="AD7" s="961"/>
      <c r="AE7" s="961"/>
      <c r="AF7" s="961"/>
      <c r="AG7" s="961"/>
      <c r="AH7" s="961"/>
      <c r="AI7" s="961"/>
      <c r="AJ7" s="961"/>
      <c r="AK7" s="923"/>
      <c r="AL7" s="924"/>
      <c r="AM7" s="29"/>
    </row>
    <row r="8" spans="1:40" s="19" customFormat="1" ht="106.5" customHeight="1">
      <c r="A8" s="965"/>
      <c r="B8" s="966"/>
      <c r="C8" s="966"/>
      <c r="D8" s="966"/>
      <c r="E8" s="966"/>
      <c r="F8" s="966"/>
      <c r="G8" s="966"/>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7"/>
      <c r="AM8" s="29"/>
      <c r="AN8" s="21"/>
    </row>
    <row r="9" spans="1:40" s="29" customFormat="1" ht="15" customHeight="1">
      <c r="A9" s="760" t="s">
        <v>109</v>
      </c>
      <c r="B9" s="761"/>
      <c r="C9" s="762"/>
      <c r="D9" s="810" t="s">
        <v>186</v>
      </c>
      <c r="E9" s="761"/>
      <c r="F9" s="761"/>
      <c r="G9" s="761"/>
      <c r="H9" s="761"/>
      <c r="I9" s="761"/>
      <c r="J9" s="761"/>
      <c r="K9" s="762"/>
      <c r="L9" s="1099" t="s">
        <v>187</v>
      </c>
      <c r="M9" s="1099"/>
      <c r="N9" s="1099"/>
      <c r="O9" s="1099"/>
      <c r="P9" s="1099"/>
      <c r="Q9" s="1099"/>
      <c r="R9" s="1099"/>
      <c r="S9" s="1099"/>
      <c r="T9" s="1099"/>
      <c r="U9" s="1099"/>
      <c r="V9" s="1099"/>
      <c r="W9" s="1099"/>
      <c r="X9" s="1099"/>
      <c r="Y9" s="1099"/>
      <c r="Z9" s="1099"/>
      <c r="AA9" s="1099"/>
      <c r="AB9" s="1099"/>
      <c r="AC9" s="1099"/>
      <c r="AD9" s="1099"/>
      <c r="AE9" s="1099"/>
      <c r="AF9" s="811" t="s">
        <v>112</v>
      </c>
      <c r="AG9" s="812"/>
      <c r="AH9" s="812"/>
      <c r="AI9" s="812"/>
      <c r="AJ9" s="813"/>
      <c r="AK9" s="923"/>
      <c r="AL9" s="924"/>
      <c r="AM9"/>
    </row>
    <row r="10" spans="1:40" s="29" customFormat="1" ht="30" customHeight="1">
      <c r="A10" s="760" t="s">
        <v>109</v>
      </c>
      <c r="B10" s="761"/>
      <c r="C10" s="762"/>
      <c r="D10" s="810" t="s">
        <v>188</v>
      </c>
      <c r="E10" s="761"/>
      <c r="F10" s="761"/>
      <c r="G10" s="761"/>
      <c r="H10" s="761"/>
      <c r="I10" s="761"/>
      <c r="J10" s="761"/>
      <c r="K10" s="762"/>
      <c r="L10" s="922" t="s">
        <v>189</v>
      </c>
      <c r="M10" s="922"/>
      <c r="N10" s="922"/>
      <c r="O10" s="922"/>
      <c r="P10" s="922"/>
      <c r="Q10" s="922"/>
      <c r="R10" s="922"/>
      <c r="S10" s="922"/>
      <c r="T10" s="922"/>
      <c r="U10" s="922"/>
      <c r="V10" s="922"/>
      <c r="W10" s="922"/>
      <c r="X10" s="922"/>
      <c r="Y10" s="922"/>
      <c r="Z10" s="922"/>
      <c r="AA10" s="922"/>
      <c r="AB10" s="922"/>
      <c r="AC10" s="922"/>
      <c r="AD10" s="922"/>
      <c r="AE10" s="922"/>
      <c r="AF10" s="811" t="s">
        <v>112</v>
      </c>
      <c r="AG10" s="812"/>
      <c r="AH10" s="812"/>
      <c r="AI10" s="812"/>
      <c r="AJ10" s="813"/>
      <c r="AK10" s="923"/>
      <c r="AL10" s="924"/>
      <c r="AM10"/>
    </row>
    <row r="11" spans="1:40" s="29" customFormat="1" ht="15" customHeight="1">
      <c r="A11" s="760" t="s">
        <v>109</v>
      </c>
      <c r="B11" s="761"/>
      <c r="C11" s="762"/>
      <c r="D11" s="810" t="s">
        <v>190</v>
      </c>
      <c r="E11" s="761"/>
      <c r="F11" s="761"/>
      <c r="G11" s="761"/>
      <c r="H11" s="761"/>
      <c r="I11" s="761"/>
      <c r="J11" s="761"/>
      <c r="K11" s="762"/>
      <c r="L11" s="922" t="s">
        <v>191</v>
      </c>
      <c r="M11" s="922"/>
      <c r="N11" s="922"/>
      <c r="O11" s="922"/>
      <c r="P11" s="922"/>
      <c r="Q11" s="922"/>
      <c r="R11" s="922"/>
      <c r="S11" s="922"/>
      <c r="T11" s="922"/>
      <c r="U11" s="922"/>
      <c r="V11" s="922"/>
      <c r="W11" s="922"/>
      <c r="X11" s="922"/>
      <c r="Y11" s="922"/>
      <c r="Z11" s="922"/>
      <c r="AA11" s="922"/>
      <c r="AB11" s="922"/>
      <c r="AC11" s="922"/>
      <c r="AD11" s="922"/>
      <c r="AE11" s="922"/>
      <c r="AF11" s="811" t="s">
        <v>112</v>
      </c>
      <c r="AG11" s="812"/>
      <c r="AH11" s="812"/>
      <c r="AI11" s="812"/>
      <c r="AJ11" s="813"/>
      <c r="AK11" s="923"/>
      <c r="AL11" s="924"/>
      <c r="AM11"/>
    </row>
    <row r="12" spans="1:40" s="29" customFormat="1" ht="15" customHeight="1">
      <c r="A12" s="760" t="s">
        <v>109</v>
      </c>
      <c r="B12" s="761"/>
      <c r="C12" s="762"/>
      <c r="D12" s="810" t="s">
        <v>192</v>
      </c>
      <c r="E12" s="761"/>
      <c r="F12" s="761"/>
      <c r="G12" s="761"/>
      <c r="H12" s="761"/>
      <c r="I12" s="761"/>
      <c r="J12" s="761"/>
      <c r="K12" s="762"/>
      <c r="L12" s="922" t="s">
        <v>193</v>
      </c>
      <c r="M12" s="922"/>
      <c r="N12" s="922"/>
      <c r="O12" s="922"/>
      <c r="P12" s="922"/>
      <c r="Q12" s="922"/>
      <c r="R12" s="922"/>
      <c r="S12" s="922"/>
      <c r="T12" s="922"/>
      <c r="U12" s="922"/>
      <c r="V12" s="922"/>
      <c r="W12" s="922"/>
      <c r="X12" s="922"/>
      <c r="Y12" s="922"/>
      <c r="Z12" s="922"/>
      <c r="AA12" s="922"/>
      <c r="AB12" s="922"/>
      <c r="AC12" s="922"/>
      <c r="AD12" s="922"/>
      <c r="AE12" s="922"/>
      <c r="AF12" s="811" t="s">
        <v>112</v>
      </c>
      <c r="AG12" s="812"/>
      <c r="AH12" s="812"/>
      <c r="AI12" s="812"/>
      <c r="AJ12" s="813"/>
      <c r="AK12" s="923"/>
      <c r="AL12" s="924"/>
      <c r="AM12"/>
    </row>
    <row r="13" spans="1:40" s="29" customFormat="1" ht="30" customHeight="1">
      <c r="A13" s="760" t="s">
        <v>109</v>
      </c>
      <c r="B13" s="761"/>
      <c r="C13" s="762"/>
      <c r="D13" s="810" t="s">
        <v>194</v>
      </c>
      <c r="E13" s="761"/>
      <c r="F13" s="761"/>
      <c r="G13" s="761"/>
      <c r="H13" s="761"/>
      <c r="I13" s="761"/>
      <c r="J13" s="761"/>
      <c r="K13" s="762"/>
      <c r="L13" s="922" t="s">
        <v>195</v>
      </c>
      <c r="M13" s="922"/>
      <c r="N13" s="922"/>
      <c r="O13" s="922"/>
      <c r="P13" s="922"/>
      <c r="Q13" s="922"/>
      <c r="R13" s="922"/>
      <c r="S13" s="922"/>
      <c r="T13" s="922"/>
      <c r="U13" s="922"/>
      <c r="V13" s="922"/>
      <c r="W13" s="922"/>
      <c r="X13" s="922"/>
      <c r="Y13" s="922"/>
      <c r="Z13" s="922"/>
      <c r="AA13" s="922"/>
      <c r="AB13" s="922"/>
      <c r="AC13" s="922"/>
      <c r="AD13" s="922"/>
      <c r="AE13" s="922"/>
      <c r="AF13" s="811" t="s">
        <v>112</v>
      </c>
      <c r="AG13" s="812"/>
      <c r="AH13" s="812"/>
      <c r="AI13" s="812"/>
      <c r="AJ13" s="813"/>
      <c r="AK13" s="923"/>
      <c r="AL13" s="924"/>
      <c r="AM13"/>
    </row>
    <row r="14" spans="1:40" ht="15" customHeight="1">
      <c r="A14" s="990" t="s">
        <v>196</v>
      </c>
      <c r="B14" s="991"/>
      <c r="C14" s="991"/>
      <c r="D14" s="991"/>
      <c r="E14" s="991"/>
      <c r="F14" s="991"/>
      <c r="G14" s="991"/>
      <c r="H14" s="991"/>
      <c r="I14" s="991"/>
      <c r="J14" s="992"/>
      <c r="K14" s="992"/>
      <c r="L14" s="992"/>
      <c r="M14" s="992"/>
      <c r="N14" s="993" t="s">
        <v>197</v>
      </c>
      <c r="O14" s="993"/>
      <c r="P14" s="993"/>
      <c r="Q14" s="993"/>
      <c r="R14" s="993"/>
      <c r="S14" s="993"/>
      <c r="T14" s="993"/>
      <c r="U14" s="993"/>
      <c r="V14" s="993"/>
      <c r="W14" s="992"/>
      <c r="X14" s="992"/>
      <c r="Y14" s="992"/>
      <c r="Z14" s="992"/>
      <c r="AA14" s="646" t="s">
        <v>198</v>
      </c>
      <c r="AB14" s="646"/>
      <c r="AC14" s="646"/>
      <c r="AD14" s="646"/>
      <c r="AE14" s="646"/>
      <c r="AF14" s="646"/>
      <c r="AG14" s="646"/>
      <c r="AH14" s="646"/>
      <c r="AI14" s="992"/>
      <c r="AJ14" s="992"/>
      <c r="AK14" s="992"/>
      <c r="AL14" s="994"/>
    </row>
    <row r="15" spans="1:40" customFormat="1" ht="15" customHeight="1">
      <c r="A15" s="960" t="s">
        <v>199</v>
      </c>
      <c r="B15" s="961"/>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23"/>
      <c r="AL15" s="924"/>
    </row>
    <row r="16" spans="1:40" s="29" customFormat="1" ht="30" customHeight="1">
      <c r="A16" s="760" t="s">
        <v>109</v>
      </c>
      <c r="B16" s="761"/>
      <c r="C16" s="762"/>
      <c r="D16" s="810" t="s">
        <v>200</v>
      </c>
      <c r="E16" s="761"/>
      <c r="F16" s="761"/>
      <c r="G16" s="761"/>
      <c r="H16" s="761"/>
      <c r="I16" s="761"/>
      <c r="J16" s="761"/>
      <c r="K16" s="762"/>
      <c r="L16" s="988" t="s">
        <v>201</v>
      </c>
      <c r="M16" s="989"/>
      <c r="N16" s="989"/>
      <c r="O16" s="989"/>
      <c r="P16" s="989"/>
      <c r="Q16" s="989"/>
      <c r="R16" s="989"/>
      <c r="S16" s="989"/>
      <c r="T16" s="989"/>
      <c r="U16" s="989"/>
      <c r="V16" s="989"/>
      <c r="W16" s="989"/>
      <c r="X16" s="989"/>
      <c r="Y16" s="989"/>
      <c r="Z16" s="989"/>
      <c r="AA16" s="989"/>
      <c r="AB16" s="989"/>
      <c r="AC16" s="989"/>
      <c r="AD16" s="989"/>
      <c r="AE16" s="989"/>
      <c r="AF16" s="811" t="s">
        <v>112</v>
      </c>
      <c r="AG16" s="812"/>
      <c r="AH16" s="812"/>
      <c r="AI16" s="812"/>
      <c r="AJ16" s="813"/>
      <c r="AK16" s="923"/>
      <c r="AL16" s="924"/>
      <c r="AM16"/>
    </row>
    <row r="17" spans="1:40" s="17" customFormat="1" ht="30" customHeight="1">
      <c r="A17" s="1006" t="s">
        <v>202</v>
      </c>
      <c r="B17" s="1007"/>
      <c r="C17" s="1007"/>
      <c r="D17" s="1007"/>
      <c r="E17" s="1007"/>
      <c r="F17" s="1007"/>
      <c r="G17" s="1007"/>
      <c r="H17" s="1007"/>
      <c r="I17" s="1007"/>
      <c r="J17" s="1007"/>
      <c r="K17" s="1007"/>
      <c r="L17" s="1007"/>
      <c r="M17" s="1007"/>
      <c r="N17" s="1007"/>
      <c r="O17" s="1007"/>
      <c r="P17" s="1007"/>
      <c r="Q17" s="1007"/>
      <c r="R17" s="1007"/>
      <c r="S17" s="1007"/>
      <c r="T17" s="1007"/>
      <c r="U17" s="1007"/>
      <c r="V17" s="1007"/>
      <c r="W17" s="1007"/>
      <c r="X17" s="1007"/>
      <c r="Y17" s="1007"/>
      <c r="Z17" s="1007"/>
      <c r="AA17" s="1007"/>
      <c r="AB17" s="1007"/>
      <c r="AC17" s="1007"/>
      <c r="AD17" s="1007"/>
      <c r="AE17" s="1007"/>
      <c r="AF17" s="1007"/>
      <c r="AG17" s="1007"/>
      <c r="AH17" s="1007"/>
      <c r="AI17" s="1007"/>
      <c r="AJ17" s="1007"/>
      <c r="AK17" s="923"/>
      <c r="AL17" s="924"/>
      <c r="AM17"/>
    </row>
    <row r="18" spans="1:40" s="16" customFormat="1" ht="30" customHeight="1">
      <c r="A18" s="1015" t="s">
        <v>203</v>
      </c>
      <c r="B18" s="1013"/>
      <c r="C18" s="1013"/>
      <c r="D18" s="1013"/>
      <c r="E18" s="1013"/>
      <c r="F18" s="1013"/>
      <c r="G18" s="1013"/>
      <c r="H18" s="1008" t="s">
        <v>101</v>
      </c>
      <c r="I18" s="1009"/>
      <c r="J18" s="1009"/>
      <c r="K18" s="1009"/>
      <c r="L18" s="1009"/>
      <c r="M18" s="1009"/>
      <c r="N18" s="1009"/>
      <c r="O18" s="1009"/>
      <c r="P18" s="1009"/>
      <c r="Q18" s="1010" t="s">
        <v>204</v>
      </c>
      <c r="R18" s="1011"/>
      <c r="S18" s="1011"/>
      <c r="T18" s="1011"/>
      <c r="U18" s="1011"/>
      <c r="V18" s="1011"/>
      <c r="W18" s="1011"/>
      <c r="X18" s="1011"/>
      <c r="Y18" s="1011"/>
      <c r="Z18" s="1012"/>
      <c r="AA18" s="1010" t="s">
        <v>205</v>
      </c>
      <c r="AB18" s="1011"/>
      <c r="AC18" s="1011"/>
      <c r="AD18" s="1011"/>
      <c r="AE18" s="1011"/>
      <c r="AF18" s="1012"/>
      <c r="AG18" s="1013" t="s">
        <v>206</v>
      </c>
      <c r="AH18" s="1013"/>
      <c r="AI18" s="1013"/>
      <c r="AJ18" s="1013" t="s">
        <v>207</v>
      </c>
      <c r="AK18" s="1013"/>
      <c r="AL18" s="1014"/>
      <c r="AM18"/>
      <c r="AN18" s="375"/>
    </row>
    <row r="19" spans="1:40" s="16" customFormat="1" ht="60" customHeight="1">
      <c r="A19" s="1004" t="str">
        <f>IF(Overview!F32="Enter parcel # 1 APN here","Do not complete this row",Overview!F32)</f>
        <v>Do not complete this row</v>
      </c>
      <c r="B19" s="1005"/>
      <c r="C19" s="1005"/>
      <c r="D19" s="1005"/>
      <c r="E19" s="1005"/>
      <c r="F19" s="1005"/>
      <c r="G19" s="1005"/>
      <c r="H19" s="995"/>
      <c r="I19" s="996"/>
      <c r="J19" s="996"/>
      <c r="K19" s="996"/>
      <c r="L19" s="996"/>
      <c r="M19" s="996"/>
      <c r="N19" s="996"/>
      <c r="O19" s="996"/>
      <c r="P19" s="996"/>
      <c r="Q19" s="997"/>
      <c r="R19" s="998"/>
      <c r="S19" s="998"/>
      <c r="T19" s="998"/>
      <c r="U19" s="998"/>
      <c r="V19" s="998"/>
      <c r="W19" s="998"/>
      <c r="X19" s="998"/>
      <c r="Y19" s="998"/>
      <c r="Z19" s="995"/>
      <c r="AA19" s="999"/>
      <c r="AB19" s="1000"/>
      <c r="AC19" s="1000"/>
      <c r="AD19" s="1000"/>
      <c r="AE19" s="1000"/>
      <c r="AF19" s="1001"/>
      <c r="AG19" s="1002"/>
      <c r="AH19" s="1002"/>
      <c r="AI19" s="1002"/>
      <c r="AJ19" s="1002"/>
      <c r="AK19" s="1002"/>
      <c r="AL19" s="1003"/>
      <c r="AM19"/>
      <c r="AN19" s="375"/>
    </row>
    <row r="20" spans="1:40" s="16" customFormat="1" ht="60" customHeight="1">
      <c r="A20" s="1004" t="str">
        <f>IF(Overview!I32="Enter parcel # 2 APN here","Do not complete this row",Overview!I32)</f>
        <v>Do not complete this row</v>
      </c>
      <c r="B20" s="1005"/>
      <c r="C20" s="1005"/>
      <c r="D20" s="1005"/>
      <c r="E20" s="1005"/>
      <c r="F20" s="1005"/>
      <c r="G20" s="1005"/>
      <c r="H20" s="995"/>
      <c r="I20" s="996"/>
      <c r="J20" s="996"/>
      <c r="K20" s="996"/>
      <c r="L20" s="996"/>
      <c r="M20" s="996"/>
      <c r="N20" s="996"/>
      <c r="O20" s="996"/>
      <c r="P20" s="996"/>
      <c r="Q20" s="997"/>
      <c r="R20" s="998"/>
      <c r="S20" s="998"/>
      <c r="T20" s="998"/>
      <c r="U20" s="998"/>
      <c r="V20" s="998"/>
      <c r="W20" s="998"/>
      <c r="X20" s="998"/>
      <c r="Y20" s="998"/>
      <c r="Z20" s="995"/>
      <c r="AA20" s="999"/>
      <c r="AB20" s="1000"/>
      <c r="AC20" s="1000"/>
      <c r="AD20" s="1000"/>
      <c r="AE20" s="1000"/>
      <c r="AF20" s="1001"/>
      <c r="AG20" s="1002"/>
      <c r="AH20" s="1002"/>
      <c r="AI20" s="1002"/>
      <c r="AJ20" s="1002"/>
      <c r="AK20" s="1002"/>
      <c r="AL20" s="1003"/>
      <c r="AM20"/>
      <c r="AN20" s="375"/>
    </row>
    <row r="21" spans="1:40" s="16" customFormat="1" ht="60" customHeight="1">
      <c r="A21" s="1004" t="str">
        <f>IF(Overview!L32="Enter parcel # 3 APN here","Do not complete this row",Overview!L32)</f>
        <v>Do not complete this row</v>
      </c>
      <c r="B21" s="1005"/>
      <c r="C21" s="1005"/>
      <c r="D21" s="1005"/>
      <c r="E21" s="1005"/>
      <c r="F21" s="1005"/>
      <c r="G21" s="1005"/>
      <c r="H21" s="995"/>
      <c r="I21" s="996"/>
      <c r="J21" s="996"/>
      <c r="K21" s="996"/>
      <c r="L21" s="996"/>
      <c r="M21" s="996"/>
      <c r="N21" s="996"/>
      <c r="O21" s="996"/>
      <c r="P21" s="996"/>
      <c r="Q21" s="997"/>
      <c r="R21" s="998"/>
      <c r="S21" s="998"/>
      <c r="T21" s="998"/>
      <c r="U21" s="998"/>
      <c r="V21" s="998"/>
      <c r="W21" s="998"/>
      <c r="X21" s="998"/>
      <c r="Y21" s="998"/>
      <c r="Z21" s="995"/>
      <c r="AA21" s="999"/>
      <c r="AB21" s="1000"/>
      <c r="AC21" s="1000"/>
      <c r="AD21" s="1000"/>
      <c r="AE21" s="1000"/>
      <c r="AF21" s="1001"/>
      <c r="AG21" s="1002"/>
      <c r="AH21" s="1002"/>
      <c r="AI21" s="1002"/>
      <c r="AJ21" s="1002"/>
      <c r="AK21" s="1002"/>
      <c r="AL21" s="1003"/>
      <c r="AM21"/>
      <c r="AN21" s="375"/>
    </row>
    <row r="22" spans="1:40" s="16" customFormat="1" ht="60" customHeight="1">
      <c r="A22" s="1004" t="str">
        <f>IF(Overview!O32="Enter parcel # 4 APN here","Do not complete this row",Overview!O32)</f>
        <v>Do not complete this row</v>
      </c>
      <c r="B22" s="1005"/>
      <c r="C22" s="1005"/>
      <c r="D22" s="1005"/>
      <c r="E22" s="1005"/>
      <c r="F22" s="1005"/>
      <c r="G22" s="1005"/>
      <c r="H22" s="995"/>
      <c r="I22" s="996"/>
      <c r="J22" s="996"/>
      <c r="K22" s="996"/>
      <c r="L22" s="996"/>
      <c r="M22" s="996"/>
      <c r="N22" s="996"/>
      <c r="O22" s="996"/>
      <c r="P22" s="996"/>
      <c r="Q22" s="997"/>
      <c r="R22" s="998"/>
      <c r="S22" s="998"/>
      <c r="T22" s="998"/>
      <c r="U22" s="998"/>
      <c r="V22" s="998"/>
      <c r="W22" s="998"/>
      <c r="X22" s="998"/>
      <c r="Y22" s="998"/>
      <c r="Z22" s="995"/>
      <c r="AA22" s="999"/>
      <c r="AB22" s="1000"/>
      <c r="AC22" s="1000"/>
      <c r="AD22" s="1000"/>
      <c r="AE22" s="1000"/>
      <c r="AF22" s="1001"/>
      <c r="AG22" s="1002"/>
      <c r="AH22" s="1002"/>
      <c r="AI22" s="1002"/>
      <c r="AJ22" s="1002"/>
      <c r="AK22" s="1002"/>
      <c r="AL22" s="1003"/>
      <c r="AM22"/>
      <c r="AN22" s="375"/>
    </row>
    <row r="23" spans="1:40" s="16" customFormat="1" ht="60" customHeight="1">
      <c r="A23" s="1004" t="str">
        <f>IF(Overview!R32="Enter parcel # 5 APN here","Do not complete this row",Overview!R32)</f>
        <v>Do not complete this row</v>
      </c>
      <c r="B23" s="1005"/>
      <c r="C23" s="1005"/>
      <c r="D23" s="1005"/>
      <c r="E23" s="1005"/>
      <c r="F23" s="1005"/>
      <c r="G23" s="1005"/>
      <c r="H23" s="995"/>
      <c r="I23" s="996"/>
      <c r="J23" s="996"/>
      <c r="K23" s="996"/>
      <c r="L23" s="996"/>
      <c r="M23" s="996"/>
      <c r="N23" s="996"/>
      <c r="O23" s="996"/>
      <c r="P23" s="996"/>
      <c r="Q23" s="997"/>
      <c r="R23" s="998"/>
      <c r="S23" s="998"/>
      <c r="T23" s="998"/>
      <c r="U23" s="998"/>
      <c r="V23" s="998"/>
      <c r="W23" s="998"/>
      <c r="X23" s="998"/>
      <c r="Y23" s="998"/>
      <c r="Z23" s="995"/>
      <c r="AA23" s="999"/>
      <c r="AB23" s="1000"/>
      <c r="AC23" s="1000"/>
      <c r="AD23" s="1000"/>
      <c r="AE23" s="1000"/>
      <c r="AF23" s="1001"/>
      <c r="AG23" s="1002"/>
      <c r="AH23" s="1002"/>
      <c r="AI23" s="1002"/>
      <c r="AJ23" s="1002"/>
      <c r="AK23" s="1002"/>
      <c r="AL23" s="1003"/>
      <c r="AM23"/>
      <c r="AN23" s="375"/>
    </row>
    <row r="24" spans="1:40" s="16" customFormat="1" ht="60" customHeight="1">
      <c r="A24" s="1004" t="str">
        <f>IF(Overview!U32="Enter parcel # 6 APN here","Do not complete this row",Overview!U32)</f>
        <v>Do not complete this row</v>
      </c>
      <c r="B24" s="1005"/>
      <c r="C24" s="1005"/>
      <c r="D24" s="1005"/>
      <c r="E24" s="1005"/>
      <c r="F24" s="1005"/>
      <c r="G24" s="1005"/>
      <c r="H24" s="995"/>
      <c r="I24" s="996"/>
      <c r="J24" s="996"/>
      <c r="K24" s="996"/>
      <c r="L24" s="996"/>
      <c r="M24" s="996"/>
      <c r="N24" s="996"/>
      <c r="O24" s="996"/>
      <c r="P24" s="996"/>
      <c r="Q24" s="997"/>
      <c r="R24" s="998"/>
      <c r="S24" s="998"/>
      <c r="T24" s="998"/>
      <c r="U24" s="998"/>
      <c r="V24" s="998"/>
      <c r="W24" s="998"/>
      <c r="X24" s="998"/>
      <c r="Y24" s="998"/>
      <c r="Z24" s="995"/>
      <c r="AA24" s="999"/>
      <c r="AB24" s="1000"/>
      <c r="AC24" s="1000"/>
      <c r="AD24" s="1000"/>
      <c r="AE24" s="1000"/>
      <c r="AF24" s="1001"/>
      <c r="AG24" s="1002"/>
      <c r="AH24" s="1002"/>
      <c r="AI24" s="1002"/>
      <c r="AJ24" s="1002"/>
      <c r="AK24" s="1002"/>
      <c r="AL24" s="1003"/>
      <c r="AM24"/>
      <c r="AN24" s="375"/>
    </row>
    <row r="25" spans="1:40" s="16" customFormat="1" ht="60" customHeight="1">
      <c r="A25" s="1004" t="str">
        <f>IF(Overview!X32="Enter parcel # 7 APN here","Do not complete this row",Overview!X32)</f>
        <v>Do not complete this row</v>
      </c>
      <c r="B25" s="1005"/>
      <c r="C25" s="1005"/>
      <c r="D25" s="1005"/>
      <c r="E25" s="1005"/>
      <c r="F25" s="1005"/>
      <c r="G25" s="1005"/>
      <c r="H25" s="995"/>
      <c r="I25" s="996"/>
      <c r="J25" s="996"/>
      <c r="K25" s="996"/>
      <c r="L25" s="996"/>
      <c r="M25" s="996"/>
      <c r="N25" s="996"/>
      <c r="O25" s="996"/>
      <c r="P25" s="996"/>
      <c r="Q25" s="997"/>
      <c r="R25" s="998"/>
      <c r="S25" s="998"/>
      <c r="T25" s="998"/>
      <c r="U25" s="998"/>
      <c r="V25" s="998"/>
      <c r="W25" s="998"/>
      <c r="X25" s="998"/>
      <c r="Y25" s="998"/>
      <c r="Z25" s="995"/>
      <c r="AA25" s="999"/>
      <c r="AB25" s="1000"/>
      <c r="AC25" s="1000"/>
      <c r="AD25" s="1000"/>
      <c r="AE25" s="1000"/>
      <c r="AF25" s="1001"/>
      <c r="AG25" s="1002"/>
      <c r="AH25" s="1002"/>
      <c r="AI25" s="1002"/>
      <c r="AJ25" s="1002"/>
      <c r="AK25" s="1002"/>
      <c r="AL25" s="1003"/>
      <c r="AM25"/>
      <c r="AN25" s="375"/>
    </row>
    <row r="26" spans="1:40" s="16" customFormat="1" ht="60" customHeight="1">
      <c r="A26" s="1004" t="str">
        <f>IF(Overview!AA32="Enter parcel # 8 APN here","Do not complete this row",Overview!AA32)</f>
        <v>Do not complete this row</v>
      </c>
      <c r="B26" s="1005"/>
      <c r="C26" s="1005"/>
      <c r="D26" s="1005"/>
      <c r="E26" s="1005"/>
      <c r="F26" s="1005"/>
      <c r="G26" s="1005"/>
      <c r="H26" s="995"/>
      <c r="I26" s="996"/>
      <c r="J26" s="996"/>
      <c r="K26" s="996"/>
      <c r="L26" s="996"/>
      <c r="M26" s="996"/>
      <c r="N26" s="996"/>
      <c r="O26" s="996"/>
      <c r="P26" s="996"/>
      <c r="Q26" s="997"/>
      <c r="R26" s="998"/>
      <c r="S26" s="998"/>
      <c r="T26" s="998"/>
      <c r="U26" s="998"/>
      <c r="V26" s="998"/>
      <c r="W26" s="998"/>
      <c r="X26" s="998"/>
      <c r="Y26" s="998"/>
      <c r="Z26" s="995"/>
      <c r="AA26" s="999"/>
      <c r="AB26" s="1000"/>
      <c r="AC26" s="1000"/>
      <c r="AD26" s="1000"/>
      <c r="AE26" s="1000"/>
      <c r="AF26" s="1001"/>
      <c r="AG26" s="1002"/>
      <c r="AH26" s="1002"/>
      <c r="AI26" s="1002"/>
      <c r="AJ26" s="1002"/>
      <c r="AK26" s="1002"/>
      <c r="AL26" s="1003"/>
      <c r="AM26"/>
      <c r="AN26" s="375"/>
    </row>
    <row r="27" spans="1:40" s="16" customFormat="1" ht="60" customHeight="1">
      <c r="A27" s="1004" t="str">
        <f>IF(Overview!AD32="Enter parcel # 9 APN here","Do not complete this row",Overview!AD32)</f>
        <v>Do not complete this row</v>
      </c>
      <c r="B27" s="1005"/>
      <c r="C27" s="1005"/>
      <c r="D27" s="1005"/>
      <c r="E27" s="1005"/>
      <c r="F27" s="1005"/>
      <c r="G27" s="1005"/>
      <c r="H27" s="995"/>
      <c r="I27" s="996"/>
      <c r="J27" s="996"/>
      <c r="K27" s="996"/>
      <c r="L27" s="996"/>
      <c r="M27" s="996"/>
      <c r="N27" s="996"/>
      <c r="O27" s="996"/>
      <c r="P27" s="996"/>
      <c r="Q27" s="997"/>
      <c r="R27" s="998"/>
      <c r="S27" s="998"/>
      <c r="T27" s="998"/>
      <c r="U27" s="998"/>
      <c r="V27" s="998"/>
      <c r="W27" s="998"/>
      <c r="X27" s="998"/>
      <c r="Y27" s="998"/>
      <c r="Z27" s="995"/>
      <c r="AA27" s="999"/>
      <c r="AB27" s="1000"/>
      <c r="AC27" s="1000"/>
      <c r="AD27" s="1000"/>
      <c r="AE27" s="1000"/>
      <c r="AF27" s="1001"/>
      <c r="AG27" s="1002"/>
      <c r="AH27" s="1002"/>
      <c r="AI27" s="1002"/>
      <c r="AJ27" s="1002"/>
      <c r="AK27" s="1002"/>
      <c r="AL27" s="1003"/>
      <c r="AM27"/>
      <c r="AN27" s="375"/>
    </row>
    <row r="28" spans="1:40" s="16" customFormat="1" ht="60" customHeight="1">
      <c r="A28" s="1004" t="str">
        <f>IF(Overview!AG32="Enter parcel # 10 APN here","Do not complete this row",Overview!AG32)</f>
        <v>Do not complete this row</v>
      </c>
      <c r="B28" s="1005"/>
      <c r="C28" s="1005"/>
      <c r="D28" s="1005"/>
      <c r="E28" s="1005"/>
      <c r="F28" s="1005"/>
      <c r="G28" s="1005"/>
      <c r="H28" s="995"/>
      <c r="I28" s="996"/>
      <c r="J28" s="996"/>
      <c r="K28" s="996"/>
      <c r="L28" s="996"/>
      <c r="M28" s="996"/>
      <c r="N28" s="996"/>
      <c r="O28" s="996"/>
      <c r="P28" s="996"/>
      <c r="Q28" s="997"/>
      <c r="R28" s="998"/>
      <c r="S28" s="998"/>
      <c r="T28" s="998"/>
      <c r="U28" s="998"/>
      <c r="V28" s="998"/>
      <c r="W28" s="998"/>
      <c r="X28" s="998"/>
      <c r="Y28" s="998"/>
      <c r="Z28" s="995"/>
      <c r="AA28" s="999"/>
      <c r="AB28" s="1000"/>
      <c r="AC28" s="1000"/>
      <c r="AD28" s="1000"/>
      <c r="AE28" s="1000"/>
      <c r="AF28" s="1001"/>
      <c r="AG28" s="1002"/>
      <c r="AH28" s="1002"/>
      <c r="AI28" s="1002"/>
      <c r="AJ28" s="1002"/>
      <c r="AK28" s="1002"/>
      <c r="AL28" s="1003"/>
      <c r="AM28"/>
      <c r="AN28" s="375"/>
    </row>
    <row r="29" spans="1:40" s="16" customFormat="1" ht="60" customHeight="1">
      <c r="A29" s="1004" t="str">
        <f>IF(Overview!AJ32="Enter parcel # 11 APN here","Do not complete this row",Overview!AJ32)</f>
        <v>Do not complete this row</v>
      </c>
      <c r="B29" s="1005"/>
      <c r="C29" s="1005"/>
      <c r="D29" s="1005"/>
      <c r="E29" s="1005"/>
      <c r="F29" s="1005"/>
      <c r="G29" s="1005"/>
      <c r="H29" s="995"/>
      <c r="I29" s="996"/>
      <c r="J29" s="996"/>
      <c r="K29" s="996"/>
      <c r="L29" s="996"/>
      <c r="M29" s="996"/>
      <c r="N29" s="996"/>
      <c r="O29" s="996"/>
      <c r="P29" s="996"/>
      <c r="Q29" s="997"/>
      <c r="R29" s="998"/>
      <c r="S29" s="998"/>
      <c r="T29" s="998"/>
      <c r="U29" s="998"/>
      <c r="V29" s="998"/>
      <c r="W29" s="998"/>
      <c r="X29" s="998"/>
      <c r="Y29" s="998"/>
      <c r="Z29" s="995"/>
      <c r="AA29" s="999"/>
      <c r="AB29" s="1000"/>
      <c r="AC29" s="1000"/>
      <c r="AD29" s="1000"/>
      <c r="AE29" s="1000"/>
      <c r="AF29" s="1001"/>
      <c r="AG29" s="1002"/>
      <c r="AH29" s="1002"/>
      <c r="AI29" s="1002"/>
      <c r="AJ29" s="1002"/>
      <c r="AK29" s="1002"/>
      <c r="AL29" s="1003"/>
      <c r="AM29"/>
      <c r="AN29" s="375"/>
    </row>
    <row r="30" spans="1:40" s="16" customFormat="1" ht="60" hidden="1" customHeight="1">
      <c r="A30" s="1091" t="str">
        <f>IF(Overview!F33="Enter parcel # 12 APN here","Do not complete this row",Overview!F33)</f>
        <v>Do not complete this row</v>
      </c>
      <c r="B30" s="1092"/>
      <c r="C30" s="1092"/>
      <c r="D30" s="1092"/>
      <c r="E30" s="1092"/>
      <c r="F30" s="1092"/>
      <c r="G30" s="1092"/>
      <c r="H30" s="995"/>
      <c r="I30" s="996"/>
      <c r="J30" s="996"/>
      <c r="K30" s="996"/>
      <c r="L30" s="996"/>
      <c r="M30" s="996"/>
      <c r="N30" s="996"/>
      <c r="O30" s="996"/>
      <c r="P30" s="996"/>
      <c r="Q30" s="997"/>
      <c r="R30" s="998"/>
      <c r="S30" s="998"/>
      <c r="T30" s="998"/>
      <c r="U30" s="998"/>
      <c r="V30" s="998"/>
      <c r="W30" s="998"/>
      <c r="X30" s="998"/>
      <c r="Y30" s="998"/>
      <c r="Z30" s="995"/>
      <c r="AA30" s="999"/>
      <c r="AB30" s="1000"/>
      <c r="AC30" s="1000"/>
      <c r="AD30" s="1000"/>
      <c r="AE30" s="1000"/>
      <c r="AF30" s="1001"/>
      <c r="AG30" s="1002"/>
      <c r="AH30" s="1002"/>
      <c r="AI30" s="1002"/>
      <c r="AJ30" s="1002"/>
      <c r="AK30" s="1002"/>
      <c r="AL30" s="1003"/>
      <c r="AM30"/>
      <c r="AN30" s="375"/>
    </row>
    <row r="31" spans="1:40" s="16" customFormat="1" ht="60" hidden="1" customHeight="1">
      <c r="A31" s="1091" t="str">
        <f>IF(Overview!I33="Enter parcel # 13 APN here","Do not complete this row",Overview!I33)</f>
        <v>Do not complete this row</v>
      </c>
      <c r="B31" s="1092"/>
      <c r="C31" s="1092"/>
      <c r="D31" s="1092"/>
      <c r="E31" s="1092"/>
      <c r="F31" s="1092"/>
      <c r="G31" s="1092"/>
      <c r="H31" s="995"/>
      <c r="I31" s="996"/>
      <c r="J31" s="996"/>
      <c r="K31" s="996"/>
      <c r="L31" s="996"/>
      <c r="M31" s="996"/>
      <c r="N31" s="996"/>
      <c r="O31" s="996"/>
      <c r="P31" s="996"/>
      <c r="Q31" s="997"/>
      <c r="R31" s="998"/>
      <c r="S31" s="998"/>
      <c r="T31" s="998"/>
      <c r="U31" s="998"/>
      <c r="V31" s="998"/>
      <c r="W31" s="998"/>
      <c r="X31" s="998"/>
      <c r="Y31" s="998"/>
      <c r="Z31" s="995"/>
      <c r="AA31" s="999"/>
      <c r="AB31" s="1000"/>
      <c r="AC31" s="1000"/>
      <c r="AD31" s="1000"/>
      <c r="AE31" s="1000"/>
      <c r="AF31" s="1001"/>
      <c r="AG31" s="1002"/>
      <c r="AH31" s="1002"/>
      <c r="AI31" s="1002"/>
      <c r="AJ31" s="1002"/>
      <c r="AK31" s="1002"/>
      <c r="AL31" s="1003"/>
      <c r="AM31"/>
      <c r="AN31" s="375"/>
    </row>
    <row r="32" spans="1:40" s="16" customFormat="1" ht="60" hidden="1" customHeight="1">
      <c r="A32" s="1091" t="str">
        <f>IF(Overview!L33="Enter parcel # 14 APN here","Do not complete this row",Overview!L33)</f>
        <v>Do not complete this row</v>
      </c>
      <c r="B32" s="1092"/>
      <c r="C32" s="1092"/>
      <c r="D32" s="1092"/>
      <c r="E32" s="1092"/>
      <c r="F32" s="1092"/>
      <c r="G32" s="1092"/>
      <c r="H32" s="995"/>
      <c r="I32" s="996"/>
      <c r="J32" s="996"/>
      <c r="K32" s="996"/>
      <c r="L32" s="996"/>
      <c r="M32" s="996"/>
      <c r="N32" s="996"/>
      <c r="O32" s="996"/>
      <c r="P32" s="996"/>
      <c r="Q32" s="997"/>
      <c r="R32" s="998"/>
      <c r="S32" s="998"/>
      <c r="T32" s="998"/>
      <c r="U32" s="998"/>
      <c r="V32" s="998"/>
      <c r="W32" s="998"/>
      <c r="X32" s="998"/>
      <c r="Y32" s="998"/>
      <c r="Z32" s="995"/>
      <c r="AA32" s="999"/>
      <c r="AB32" s="1000"/>
      <c r="AC32" s="1000"/>
      <c r="AD32" s="1000"/>
      <c r="AE32" s="1000"/>
      <c r="AF32" s="1001"/>
      <c r="AG32" s="1002"/>
      <c r="AH32" s="1002"/>
      <c r="AI32" s="1002"/>
      <c r="AJ32" s="1002"/>
      <c r="AK32" s="1002"/>
      <c r="AL32" s="1003"/>
      <c r="AM32"/>
      <c r="AN32" s="375"/>
    </row>
    <row r="33" spans="1:40" s="16" customFormat="1" ht="60" hidden="1" customHeight="1">
      <c r="A33" s="1091" t="str">
        <f>IF(Overview!O33="Enter parcel # 15 APN here","Do not complete this row",Overview!O33)</f>
        <v>Do not complete this row</v>
      </c>
      <c r="B33" s="1092"/>
      <c r="C33" s="1092"/>
      <c r="D33" s="1092"/>
      <c r="E33" s="1092"/>
      <c r="F33" s="1092"/>
      <c r="G33" s="1092"/>
      <c r="H33" s="995"/>
      <c r="I33" s="996"/>
      <c r="J33" s="996"/>
      <c r="K33" s="996"/>
      <c r="L33" s="996"/>
      <c r="M33" s="996"/>
      <c r="N33" s="996"/>
      <c r="O33" s="996"/>
      <c r="P33" s="996"/>
      <c r="Q33" s="997"/>
      <c r="R33" s="998"/>
      <c r="S33" s="998"/>
      <c r="T33" s="998"/>
      <c r="U33" s="998"/>
      <c r="V33" s="998"/>
      <c r="W33" s="998"/>
      <c r="X33" s="998"/>
      <c r="Y33" s="998"/>
      <c r="Z33" s="995"/>
      <c r="AA33" s="999"/>
      <c r="AB33" s="1000"/>
      <c r="AC33" s="1000"/>
      <c r="AD33" s="1000"/>
      <c r="AE33" s="1000"/>
      <c r="AF33" s="1001"/>
      <c r="AG33" s="1002"/>
      <c r="AH33" s="1002"/>
      <c r="AI33" s="1002"/>
      <c r="AJ33" s="1002"/>
      <c r="AK33" s="1002"/>
      <c r="AL33" s="1003"/>
      <c r="AM33"/>
      <c r="AN33" s="375"/>
    </row>
    <row r="34" spans="1:40" s="16" customFormat="1" ht="60" hidden="1" customHeight="1">
      <c r="A34" s="1091" t="str">
        <f>IF(Overview!R33="Enter parcel # 16 APN here","Do not complete this row",Overview!R33)</f>
        <v>Do not complete this row</v>
      </c>
      <c r="B34" s="1092"/>
      <c r="C34" s="1092"/>
      <c r="D34" s="1092"/>
      <c r="E34" s="1092"/>
      <c r="F34" s="1092"/>
      <c r="G34" s="1092"/>
      <c r="H34" s="995"/>
      <c r="I34" s="996"/>
      <c r="J34" s="996"/>
      <c r="K34" s="996"/>
      <c r="L34" s="996"/>
      <c r="M34" s="996"/>
      <c r="N34" s="996"/>
      <c r="O34" s="996"/>
      <c r="P34" s="996"/>
      <c r="Q34" s="997"/>
      <c r="R34" s="998"/>
      <c r="S34" s="998"/>
      <c r="T34" s="998"/>
      <c r="U34" s="998"/>
      <c r="V34" s="998"/>
      <c r="W34" s="998"/>
      <c r="X34" s="998"/>
      <c r="Y34" s="998"/>
      <c r="Z34" s="995"/>
      <c r="AA34" s="999"/>
      <c r="AB34" s="1000"/>
      <c r="AC34" s="1000"/>
      <c r="AD34" s="1000"/>
      <c r="AE34" s="1000"/>
      <c r="AF34" s="1001"/>
      <c r="AG34" s="1002"/>
      <c r="AH34" s="1002"/>
      <c r="AI34" s="1002"/>
      <c r="AJ34" s="1002"/>
      <c r="AK34" s="1002"/>
      <c r="AL34" s="1003"/>
      <c r="AM34"/>
      <c r="AN34" s="375"/>
    </row>
    <row r="35" spans="1:40" s="16" customFormat="1" ht="60" hidden="1" customHeight="1">
      <c r="A35" s="1091" t="str">
        <f>IF(Overview!U33="Enter parcel # 17 APN here","Do not complete this row",Overview!U33)</f>
        <v>Do not complete this row</v>
      </c>
      <c r="B35" s="1092"/>
      <c r="C35" s="1092"/>
      <c r="D35" s="1092"/>
      <c r="E35" s="1092"/>
      <c r="F35" s="1092"/>
      <c r="G35" s="1092"/>
      <c r="H35" s="995"/>
      <c r="I35" s="996"/>
      <c r="J35" s="996"/>
      <c r="K35" s="996"/>
      <c r="L35" s="996"/>
      <c r="M35" s="996"/>
      <c r="N35" s="996"/>
      <c r="O35" s="996"/>
      <c r="P35" s="996"/>
      <c r="Q35" s="997"/>
      <c r="R35" s="998"/>
      <c r="S35" s="998"/>
      <c r="T35" s="998"/>
      <c r="U35" s="998"/>
      <c r="V35" s="998"/>
      <c r="W35" s="998"/>
      <c r="X35" s="998"/>
      <c r="Y35" s="998"/>
      <c r="Z35" s="995"/>
      <c r="AA35" s="999"/>
      <c r="AB35" s="1000"/>
      <c r="AC35" s="1000"/>
      <c r="AD35" s="1000"/>
      <c r="AE35" s="1000"/>
      <c r="AF35" s="1001"/>
      <c r="AG35" s="1002"/>
      <c r="AH35" s="1002"/>
      <c r="AI35" s="1002"/>
      <c r="AJ35" s="1002"/>
      <c r="AK35" s="1002"/>
      <c r="AL35" s="1003"/>
      <c r="AM35"/>
      <c r="AN35" s="375"/>
    </row>
    <row r="36" spans="1:40" s="16" customFormat="1" ht="60" hidden="1" customHeight="1">
      <c r="A36" s="1091" t="str">
        <f>IF(Overview!X33="Enter parcel # 18 APN here","Do not complete this row",Overview!X33)</f>
        <v>Do not complete this row</v>
      </c>
      <c r="B36" s="1092"/>
      <c r="C36" s="1092"/>
      <c r="D36" s="1092"/>
      <c r="E36" s="1092"/>
      <c r="F36" s="1092"/>
      <c r="G36" s="1092"/>
      <c r="H36" s="995"/>
      <c r="I36" s="996"/>
      <c r="J36" s="996"/>
      <c r="K36" s="996"/>
      <c r="L36" s="996"/>
      <c r="M36" s="996"/>
      <c r="N36" s="996"/>
      <c r="O36" s="996"/>
      <c r="P36" s="996"/>
      <c r="Q36" s="997"/>
      <c r="R36" s="998"/>
      <c r="S36" s="998"/>
      <c r="T36" s="998"/>
      <c r="U36" s="998"/>
      <c r="V36" s="998"/>
      <c r="W36" s="998"/>
      <c r="X36" s="998"/>
      <c r="Y36" s="998"/>
      <c r="Z36" s="995"/>
      <c r="AA36" s="999"/>
      <c r="AB36" s="1000"/>
      <c r="AC36" s="1000"/>
      <c r="AD36" s="1000"/>
      <c r="AE36" s="1000"/>
      <c r="AF36" s="1001"/>
      <c r="AG36" s="1002"/>
      <c r="AH36" s="1002"/>
      <c r="AI36" s="1002"/>
      <c r="AJ36" s="1002"/>
      <c r="AK36" s="1002"/>
      <c r="AL36" s="1003"/>
      <c r="AM36"/>
      <c r="AN36" s="375"/>
    </row>
    <row r="37" spans="1:40" s="16" customFormat="1" ht="60" hidden="1" customHeight="1">
      <c r="A37" s="1091" t="str">
        <f>IF(Overview!AA33="Enter parcel # 19 APN here","Do not complete this row",Overview!AA33)</f>
        <v>Do not complete this row</v>
      </c>
      <c r="B37" s="1092"/>
      <c r="C37" s="1092"/>
      <c r="D37" s="1092"/>
      <c r="E37" s="1092"/>
      <c r="F37" s="1092"/>
      <c r="G37" s="1092"/>
      <c r="H37" s="995"/>
      <c r="I37" s="996"/>
      <c r="J37" s="996"/>
      <c r="K37" s="996"/>
      <c r="L37" s="996"/>
      <c r="M37" s="996"/>
      <c r="N37" s="996"/>
      <c r="O37" s="996"/>
      <c r="P37" s="996"/>
      <c r="Q37" s="997"/>
      <c r="R37" s="998"/>
      <c r="S37" s="998"/>
      <c r="T37" s="998"/>
      <c r="U37" s="998"/>
      <c r="V37" s="998"/>
      <c r="W37" s="998"/>
      <c r="X37" s="998"/>
      <c r="Y37" s="998"/>
      <c r="Z37" s="995"/>
      <c r="AA37" s="999"/>
      <c r="AB37" s="1000"/>
      <c r="AC37" s="1000"/>
      <c r="AD37" s="1000"/>
      <c r="AE37" s="1000"/>
      <c r="AF37" s="1001"/>
      <c r="AG37" s="1002"/>
      <c r="AH37" s="1002"/>
      <c r="AI37" s="1002"/>
      <c r="AJ37" s="1002"/>
      <c r="AK37" s="1002"/>
      <c r="AL37" s="1003"/>
      <c r="AM37"/>
      <c r="AN37" s="375"/>
    </row>
    <row r="38" spans="1:40" s="16" customFormat="1" ht="60" hidden="1" customHeight="1">
      <c r="A38" s="1091" t="str">
        <f>IF(Overview!AD33="Enter parcel # 20 APN here","Do not complete this row",Overview!AD33)</f>
        <v>Do not complete this row</v>
      </c>
      <c r="B38" s="1092"/>
      <c r="C38" s="1092"/>
      <c r="D38" s="1092"/>
      <c r="E38" s="1092"/>
      <c r="F38" s="1092"/>
      <c r="G38" s="1092"/>
      <c r="H38" s="995"/>
      <c r="I38" s="996"/>
      <c r="J38" s="996"/>
      <c r="K38" s="996"/>
      <c r="L38" s="996"/>
      <c r="M38" s="996"/>
      <c r="N38" s="996"/>
      <c r="O38" s="996"/>
      <c r="P38" s="996"/>
      <c r="Q38" s="997"/>
      <c r="R38" s="998"/>
      <c r="S38" s="998"/>
      <c r="T38" s="998"/>
      <c r="U38" s="998"/>
      <c r="V38" s="998"/>
      <c r="W38" s="998"/>
      <c r="X38" s="998"/>
      <c r="Y38" s="998"/>
      <c r="Z38" s="995"/>
      <c r="AA38" s="999"/>
      <c r="AB38" s="1000"/>
      <c r="AC38" s="1000"/>
      <c r="AD38" s="1000"/>
      <c r="AE38" s="1000"/>
      <c r="AF38" s="1001"/>
      <c r="AG38" s="1002"/>
      <c r="AH38" s="1002"/>
      <c r="AI38" s="1002"/>
      <c r="AJ38" s="1002"/>
      <c r="AK38" s="1002"/>
      <c r="AL38" s="1003"/>
      <c r="AM38"/>
      <c r="AN38" s="375"/>
    </row>
    <row r="39" spans="1:40" s="16" customFormat="1" ht="60" hidden="1" customHeight="1">
      <c r="A39" s="1091" t="str">
        <f>IF(Overview!AG33="Enter parcel # 21 APN here","Do not complete this row",Overview!AG33)</f>
        <v>Do not complete this row</v>
      </c>
      <c r="B39" s="1092"/>
      <c r="C39" s="1092"/>
      <c r="D39" s="1092"/>
      <c r="E39" s="1092"/>
      <c r="F39" s="1092"/>
      <c r="G39" s="1092"/>
      <c r="H39" s="995"/>
      <c r="I39" s="996"/>
      <c r="J39" s="996"/>
      <c r="K39" s="996"/>
      <c r="L39" s="996"/>
      <c r="M39" s="996"/>
      <c r="N39" s="996"/>
      <c r="O39" s="996"/>
      <c r="P39" s="996"/>
      <c r="Q39" s="997"/>
      <c r="R39" s="998"/>
      <c r="S39" s="998"/>
      <c r="T39" s="998"/>
      <c r="U39" s="998"/>
      <c r="V39" s="998"/>
      <c r="W39" s="998"/>
      <c r="X39" s="998"/>
      <c r="Y39" s="998"/>
      <c r="Z39" s="995"/>
      <c r="AA39" s="999"/>
      <c r="AB39" s="1000"/>
      <c r="AC39" s="1000"/>
      <c r="AD39" s="1000"/>
      <c r="AE39" s="1000"/>
      <c r="AF39" s="1001"/>
      <c r="AG39" s="1002"/>
      <c r="AH39" s="1002"/>
      <c r="AI39" s="1002"/>
      <c r="AJ39" s="1002"/>
      <c r="AK39" s="1002"/>
      <c r="AL39" s="1003"/>
      <c r="AM39"/>
      <c r="AN39" s="375"/>
    </row>
    <row r="40" spans="1:40" s="16" customFormat="1" ht="60" hidden="1" customHeight="1">
      <c r="A40" s="1091" t="str">
        <f>IF(Overview!AJ33="Enter parcel # 22 APN here","Do not complete this row",Overview!AJ33)</f>
        <v>Do not complete this row</v>
      </c>
      <c r="B40" s="1092"/>
      <c r="C40" s="1092"/>
      <c r="D40" s="1092"/>
      <c r="E40" s="1092"/>
      <c r="F40" s="1092"/>
      <c r="G40" s="1092"/>
      <c r="H40" s="995"/>
      <c r="I40" s="996"/>
      <c r="J40" s="996"/>
      <c r="K40" s="996"/>
      <c r="L40" s="996"/>
      <c r="M40" s="996"/>
      <c r="N40" s="996"/>
      <c r="O40" s="996"/>
      <c r="P40" s="996"/>
      <c r="Q40" s="997"/>
      <c r="R40" s="998"/>
      <c r="S40" s="998"/>
      <c r="T40" s="998"/>
      <c r="U40" s="998"/>
      <c r="V40" s="998"/>
      <c r="W40" s="998"/>
      <c r="X40" s="998"/>
      <c r="Y40" s="998"/>
      <c r="Z40" s="995"/>
      <c r="AA40" s="999"/>
      <c r="AB40" s="1000"/>
      <c r="AC40" s="1000"/>
      <c r="AD40" s="1000"/>
      <c r="AE40" s="1000"/>
      <c r="AF40" s="1001"/>
      <c r="AG40" s="1002"/>
      <c r="AH40" s="1002"/>
      <c r="AI40" s="1002"/>
      <c r="AJ40" s="1002"/>
      <c r="AK40" s="1002"/>
      <c r="AL40" s="1003"/>
      <c r="AM40"/>
      <c r="AN40" s="375"/>
    </row>
    <row r="41" spans="1:40" s="16" customFormat="1" ht="30" customHeight="1">
      <c r="A41" s="949" t="s">
        <v>208</v>
      </c>
      <c r="B41" s="950"/>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1"/>
      <c r="AK41" s="714"/>
      <c r="AL41" s="715"/>
      <c r="AM41"/>
      <c r="AN41" s="18"/>
    </row>
    <row r="42" spans="1:40" s="29" customFormat="1" ht="15" customHeight="1">
      <c r="A42" s="760" t="s">
        <v>152</v>
      </c>
      <c r="B42" s="761"/>
      <c r="C42" s="762"/>
      <c r="D42" s="810" t="s">
        <v>209</v>
      </c>
      <c r="E42" s="761"/>
      <c r="F42" s="761"/>
      <c r="G42" s="761"/>
      <c r="H42" s="761"/>
      <c r="I42" s="761"/>
      <c r="J42" s="761"/>
      <c r="K42" s="762"/>
      <c r="L42" s="810" t="s">
        <v>210</v>
      </c>
      <c r="M42" s="761"/>
      <c r="N42" s="761"/>
      <c r="O42" s="761"/>
      <c r="P42" s="761"/>
      <c r="Q42" s="761"/>
      <c r="R42" s="761"/>
      <c r="S42" s="761"/>
      <c r="T42" s="761"/>
      <c r="U42" s="761"/>
      <c r="V42" s="761"/>
      <c r="W42" s="761"/>
      <c r="X42" s="761"/>
      <c r="Y42" s="761"/>
      <c r="Z42" s="761"/>
      <c r="AA42" s="761"/>
      <c r="AB42" s="761"/>
      <c r="AC42" s="761"/>
      <c r="AD42" s="761"/>
      <c r="AE42" s="761"/>
      <c r="AF42" s="811" t="s">
        <v>112</v>
      </c>
      <c r="AG42" s="812"/>
      <c r="AH42" s="812"/>
      <c r="AI42" s="812"/>
      <c r="AJ42" s="813"/>
      <c r="AK42" s="714"/>
      <c r="AL42" s="715"/>
      <c r="AM42"/>
    </row>
    <row r="43" spans="1:40" s="16" customFormat="1" ht="15" customHeight="1">
      <c r="A43" s="962" t="s">
        <v>211</v>
      </c>
      <c r="B43" s="963"/>
      <c r="C43" s="963"/>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4"/>
      <c r="AM43"/>
      <c r="AN43" s="18"/>
    </row>
    <row r="44" spans="1:40" s="19" customFormat="1" ht="60" customHeight="1">
      <c r="A44" s="965"/>
      <c r="B44" s="966"/>
      <c r="C44" s="966"/>
      <c r="D44" s="966"/>
      <c r="E44" s="966"/>
      <c r="F44" s="966"/>
      <c r="G44" s="966"/>
      <c r="H44" s="966"/>
      <c r="I44" s="966"/>
      <c r="J44" s="966"/>
      <c r="K44" s="966"/>
      <c r="L44" s="966"/>
      <c r="M44" s="966"/>
      <c r="N44" s="966"/>
      <c r="O44" s="966"/>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7"/>
      <c r="AM44"/>
      <c r="AN44" s="21"/>
    </row>
    <row r="45" spans="1:40" s="29" customFormat="1" ht="15" customHeight="1">
      <c r="A45" s="760" t="s">
        <v>152</v>
      </c>
      <c r="B45" s="761"/>
      <c r="C45" s="762"/>
      <c r="D45" s="810" t="s">
        <v>212</v>
      </c>
      <c r="E45" s="761"/>
      <c r="F45" s="761"/>
      <c r="G45" s="761"/>
      <c r="H45" s="761"/>
      <c r="I45" s="761"/>
      <c r="J45" s="761"/>
      <c r="K45" s="762"/>
      <c r="L45" s="810" t="s">
        <v>213</v>
      </c>
      <c r="M45" s="761"/>
      <c r="N45" s="761"/>
      <c r="O45" s="761"/>
      <c r="P45" s="761"/>
      <c r="Q45" s="761"/>
      <c r="R45" s="761"/>
      <c r="S45" s="761"/>
      <c r="T45" s="761"/>
      <c r="U45" s="761"/>
      <c r="V45" s="761"/>
      <c r="W45" s="761"/>
      <c r="X45" s="761"/>
      <c r="Y45" s="761"/>
      <c r="Z45" s="761"/>
      <c r="AA45" s="761"/>
      <c r="AB45" s="761"/>
      <c r="AC45" s="761"/>
      <c r="AD45" s="761"/>
      <c r="AE45" s="761"/>
      <c r="AF45" s="811" t="s">
        <v>112</v>
      </c>
      <c r="AG45" s="812"/>
      <c r="AH45" s="812"/>
      <c r="AI45" s="812"/>
      <c r="AJ45" s="813"/>
      <c r="AK45" s="714"/>
      <c r="AL45" s="715"/>
      <c r="AM45"/>
    </row>
    <row r="46" spans="1:40" s="29" customFormat="1" ht="15" customHeight="1">
      <c r="A46" s="760" t="s">
        <v>152</v>
      </c>
      <c r="B46" s="761"/>
      <c r="C46" s="761"/>
      <c r="D46" s="810" t="s">
        <v>214</v>
      </c>
      <c r="E46" s="761"/>
      <c r="F46" s="761"/>
      <c r="G46" s="761"/>
      <c r="H46" s="761"/>
      <c r="I46" s="761"/>
      <c r="J46" s="761"/>
      <c r="K46" s="762" t="s">
        <v>215</v>
      </c>
      <c r="L46" s="810" t="s">
        <v>216</v>
      </c>
      <c r="M46" s="761"/>
      <c r="N46" s="761"/>
      <c r="O46" s="761"/>
      <c r="P46" s="761"/>
      <c r="Q46" s="761"/>
      <c r="R46" s="761"/>
      <c r="S46" s="761"/>
      <c r="T46" s="761"/>
      <c r="U46" s="761"/>
      <c r="V46" s="761"/>
      <c r="W46" s="761"/>
      <c r="X46" s="761"/>
      <c r="Y46" s="761"/>
      <c r="Z46" s="761"/>
      <c r="AA46" s="761"/>
      <c r="AB46" s="761"/>
      <c r="AC46" s="761"/>
      <c r="AD46" s="761"/>
      <c r="AE46" s="761" t="s">
        <v>217</v>
      </c>
      <c r="AF46" s="811" t="s">
        <v>112</v>
      </c>
      <c r="AG46" s="812"/>
      <c r="AH46" s="812"/>
      <c r="AI46" s="812"/>
      <c r="AJ46" s="813"/>
      <c r="AK46" s="714"/>
      <c r="AL46" s="715"/>
    </row>
    <row r="47" spans="1:40" s="29" customFormat="1" ht="15" customHeight="1">
      <c r="A47" s="760" t="s">
        <v>152</v>
      </c>
      <c r="B47" s="761"/>
      <c r="C47" s="761"/>
      <c r="D47" s="810" t="s">
        <v>218</v>
      </c>
      <c r="E47" s="761"/>
      <c r="F47" s="761"/>
      <c r="G47" s="761"/>
      <c r="H47" s="761"/>
      <c r="I47" s="761"/>
      <c r="J47" s="761"/>
      <c r="K47" s="762" t="s">
        <v>215</v>
      </c>
      <c r="L47" s="810" t="s">
        <v>219</v>
      </c>
      <c r="M47" s="761"/>
      <c r="N47" s="761"/>
      <c r="O47" s="761"/>
      <c r="P47" s="761"/>
      <c r="Q47" s="761"/>
      <c r="R47" s="761"/>
      <c r="S47" s="761"/>
      <c r="T47" s="761"/>
      <c r="U47" s="761"/>
      <c r="V47" s="761"/>
      <c r="W47" s="761"/>
      <c r="X47" s="761"/>
      <c r="Y47" s="761"/>
      <c r="Z47" s="761"/>
      <c r="AA47" s="761"/>
      <c r="AB47" s="761"/>
      <c r="AC47" s="761"/>
      <c r="AD47" s="761"/>
      <c r="AE47" s="761" t="s">
        <v>217</v>
      </c>
      <c r="AF47" s="811" t="s">
        <v>112</v>
      </c>
      <c r="AG47" s="812"/>
      <c r="AH47" s="812"/>
      <c r="AI47" s="812"/>
      <c r="AJ47" s="813"/>
      <c r="AK47" s="714"/>
      <c r="AL47" s="715"/>
    </row>
    <row r="48" spans="1:40" s="29" customFormat="1" ht="15" customHeight="1">
      <c r="A48" s="760" t="s">
        <v>152</v>
      </c>
      <c r="B48" s="761"/>
      <c r="C48" s="761"/>
      <c r="D48" s="810" t="s">
        <v>220</v>
      </c>
      <c r="E48" s="761"/>
      <c r="F48" s="761"/>
      <c r="G48" s="761"/>
      <c r="H48" s="761"/>
      <c r="I48" s="761"/>
      <c r="J48" s="761"/>
      <c r="K48" s="762" t="s">
        <v>215</v>
      </c>
      <c r="L48" s="810" t="s">
        <v>221</v>
      </c>
      <c r="M48" s="761"/>
      <c r="N48" s="761"/>
      <c r="O48" s="761"/>
      <c r="P48" s="761"/>
      <c r="Q48" s="761"/>
      <c r="R48" s="761"/>
      <c r="S48" s="761"/>
      <c r="T48" s="761"/>
      <c r="U48" s="761"/>
      <c r="V48" s="761"/>
      <c r="W48" s="761"/>
      <c r="X48" s="761"/>
      <c r="Y48" s="761"/>
      <c r="Z48" s="761"/>
      <c r="AA48" s="761"/>
      <c r="AB48" s="761"/>
      <c r="AC48" s="761"/>
      <c r="AD48" s="761"/>
      <c r="AE48" s="761" t="s">
        <v>217</v>
      </c>
      <c r="AF48" s="811" t="s">
        <v>112</v>
      </c>
      <c r="AG48" s="812"/>
      <c r="AH48" s="812"/>
      <c r="AI48" s="812"/>
      <c r="AJ48" s="813"/>
      <c r="AK48" s="714"/>
      <c r="AL48" s="715"/>
    </row>
    <row r="49" spans="1:43" s="29" customFormat="1" ht="15" customHeight="1">
      <c r="A49" s="760" t="s">
        <v>152</v>
      </c>
      <c r="B49" s="761"/>
      <c r="C49" s="761"/>
      <c r="D49" s="810" t="s">
        <v>222</v>
      </c>
      <c r="E49" s="761"/>
      <c r="F49" s="761"/>
      <c r="G49" s="761"/>
      <c r="H49" s="761"/>
      <c r="I49" s="761"/>
      <c r="J49" s="761"/>
      <c r="K49" s="762" t="s">
        <v>215</v>
      </c>
      <c r="L49" s="810" t="s">
        <v>223</v>
      </c>
      <c r="M49" s="761"/>
      <c r="N49" s="761"/>
      <c r="O49" s="761"/>
      <c r="P49" s="761"/>
      <c r="Q49" s="761"/>
      <c r="R49" s="761"/>
      <c r="S49" s="761"/>
      <c r="T49" s="761"/>
      <c r="U49" s="761"/>
      <c r="V49" s="761"/>
      <c r="W49" s="761"/>
      <c r="X49" s="761"/>
      <c r="Y49" s="761"/>
      <c r="Z49" s="761"/>
      <c r="AA49" s="761"/>
      <c r="AB49" s="761"/>
      <c r="AC49" s="761"/>
      <c r="AD49" s="761"/>
      <c r="AE49" s="761" t="s">
        <v>217</v>
      </c>
      <c r="AF49" s="811" t="s">
        <v>112</v>
      </c>
      <c r="AG49" s="812"/>
      <c r="AH49" s="812"/>
      <c r="AI49" s="812"/>
      <c r="AJ49" s="813"/>
      <c r="AK49" s="714"/>
      <c r="AL49" s="715"/>
    </row>
    <row r="50" spans="1:43" customFormat="1" ht="30" customHeight="1">
      <c r="A50" s="960" t="s">
        <v>224</v>
      </c>
      <c r="B50" s="961"/>
      <c r="C50" s="961"/>
      <c r="D50" s="961"/>
      <c r="E50" s="961"/>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23"/>
      <c r="AL50" s="924"/>
      <c r="AN50" t="str">
        <f>IF(Overview!D48="","Applicant #1",Overview!D48)</f>
        <v>Applicant #1</v>
      </c>
    </row>
    <row r="51" spans="1:43" customFormat="1" ht="15" customHeight="1">
      <c r="A51" s="976" t="s">
        <v>225</v>
      </c>
      <c r="B51" s="977"/>
      <c r="C51" s="977"/>
      <c r="D51" s="977"/>
      <c r="E51" s="977"/>
      <c r="F51" s="977"/>
      <c r="G51" s="977"/>
      <c r="H51" s="977"/>
      <c r="I51" s="977"/>
      <c r="J51" s="977"/>
      <c r="K51" s="977"/>
      <c r="L51" s="977"/>
      <c r="M51" s="977"/>
      <c r="N51" s="977"/>
      <c r="O51" s="977"/>
      <c r="P51" s="977"/>
      <c r="Q51" s="977"/>
      <c r="R51" s="978"/>
      <c r="S51" s="979"/>
      <c r="T51" s="980"/>
      <c r="U51" s="980"/>
      <c r="V51" s="980"/>
      <c r="W51" s="980"/>
      <c r="X51" s="980"/>
      <c r="Y51" s="980"/>
      <c r="Z51" s="980"/>
      <c r="AA51" s="980"/>
      <c r="AB51" s="980"/>
      <c r="AC51" s="980"/>
      <c r="AD51" s="980"/>
      <c r="AE51" s="980"/>
      <c r="AF51" s="980"/>
      <c r="AG51" s="980"/>
      <c r="AH51" s="980"/>
      <c r="AI51" s="980"/>
      <c r="AJ51" s="980"/>
      <c r="AK51" s="980"/>
      <c r="AL51" s="981"/>
      <c r="AN51" t="str">
        <f>IF(Overview!D57="","",Overview!D57)</f>
        <v/>
      </c>
    </row>
    <row r="52" spans="1:43" customFormat="1" ht="30" customHeight="1">
      <c r="A52" s="960" t="s">
        <v>226</v>
      </c>
      <c r="B52" s="961"/>
      <c r="C52" s="961"/>
      <c r="D52" s="961"/>
      <c r="E52" s="961"/>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1"/>
      <c r="AD52" s="961"/>
      <c r="AE52" s="961"/>
      <c r="AF52" s="961"/>
      <c r="AG52" s="961"/>
      <c r="AH52" s="961"/>
      <c r="AI52" s="961"/>
      <c r="AJ52" s="961"/>
      <c r="AK52" s="923"/>
      <c r="AL52" s="924"/>
      <c r="AN52" t="str">
        <f>IF(Overview!D72="","",Overview!D72)</f>
        <v/>
      </c>
    </row>
    <row r="53" spans="1:43" s="29" customFormat="1" ht="15" customHeight="1">
      <c r="A53" s="760" t="s">
        <v>152</v>
      </c>
      <c r="B53" s="761"/>
      <c r="C53" s="762"/>
      <c r="D53" s="810" t="s">
        <v>227</v>
      </c>
      <c r="E53" s="761"/>
      <c r="F53" s="761"/>
      <c r="G53" s="761"/>
      <c r="H53" s="761"/>
      <c r="I53" s="761"/>
      <c r="J53" s="761"/>
      <c r="K53" s="762"/>
      <c r="L53" s="810" t="s">
        <v>228</v>
      </c>
      <c r="M53" s="761"/>
      <c r="N53" s="761"/>
      <c r="O53" s="761"/>
      <c r="P53" s="761"/>
      <c r="Q53" s="761"/>
      <c r="R53" s="761"/>
      <c r="S53" s="761"/>
      <c r="T53" s="761"/>
      <c r="U53" s="761"/>
      <c r="V53" s="761"/>
      <c r="W53" s="761"/>
      <c r="X53" s="761"/>
      <c r="Y53" s="761"/>
      <c r="Z53" s="761"/>
      <c r="AA53" s="761"/>
      <c r="AB53" s="761"/>
      <c r="AC53" s="761"/>
      <c r="AD53" s="761"/>
      <c r="AE53" s="761"/>
      <c r="AF53" s="811" t="s">
        <v>112</v>
      </c>
      <c r="AG53" s="812"/>
      <c r="AH53" s="812"/>
      <c r="AI53" s="812"/>
      <c r="AJ53" s="813"/>
      <c r="AK53" s="923"/>
      <c r="AL53" s="924"/>
    </row>
    <row r="54" spans="1:43" customFormat="1" ht="45" customHeight="1">
      <c r="A54" s="960" t="s">
        <v>229</v>
      </c>
      <c r="B54" s="961"/>
      <c r="C54" s="961"/>
      <c r="D54" s="961"/>
      <c r="E54" s="961"/>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1"/>
      <c r="AK54" s="923"/>
      <c r="AL54" s="924"/>
    </row>
    <row r="55" spans="1:43" customFormat="1" ht="45" customHeight="1">
      <c r="A55" s="960" t="s">
        <v>230</v>
      </c>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1"/>
      <c r="AC55" s="961"/>
      <c r="AD55" s="961"/>
      <c r="AE55" s="961"/>
      <c r="AF55" s="961"/>
      <c r="AG55" s="961"/>
      <c r="AH55" s="961"/>
      <c r="AI55" s="961"/>
      <c r="AJ55" s="961"/>
      <c r="AK55" s="923"/>
      <c r="AL55" s="924"/>
    </row>
    <row r="56" spans="1:43" customFormat="1" ht="30" customHeight="1">
      <c r="A56" s="1029" t="s">
        <v>231</v>
      </c>
      <c r="B56" s="961"/>
      <c r="C56" s="961"/>
      <c r="D56" s="961"/>
      <c r="E56" s="961"/>
      <c r="F56" s="961"/>
      <c r="G56" s="961"/>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23"/>
      <c r="AL56" s="924"/>
    </row>
    <row r="57" spans="1:43" customFormat="1" ht="60" customHeight="1">
      <c r="A57" s="960" t="s">
        <v>232</v>
      </c>
      <c r="B57" s="961"/>
      <c r="C57" s="961"/>
      <c r="D57" s="961"/>
      <c r="E57" s="961"/>
      <c r="F57" s="961"/>
      <c r="G57" s="961"/>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23"/>
      <c r="AL57" s="924"/>
    </row>
    <row r="58" spans="1:43" s="24" customFormat="1" ht="15" customHeight="1" thickBot="1">
      <c r="A58" s="1016" t="s">
        <v>152</v>
      </c>
      <c r="B58" s="1017"/>
      <c r="C58" s="1017"/>
      <c r="D58" s="1018" t="s">
        <v>233</v>
      </c>
      <c r="E58" s="1019"/>
      <c r="F58" s="1019"/>
      <c r="G58" s="1019"/>
      <c r="H58" s="1019"/>
      <c r="I58" s="1019"/>
      <c r="J58" s="1019"/>
      <c r="K58" s="1020"/>
      <c r="L58" s="1021" t="s">
        <v>234</v>
      </c>
      <c r="M58" s="1022"/>
      <c r="N58" s="1022"/>
      <c r="O58" s="1022"/>
      <c r="P58" s="1022"/>
      <c r="Q58" s="1022"/>
      <c r="R58" s="1022"/>
      <c r="S58" s="1022"/>
      <c r="T58" s="1022"/>
      <c r="U58" s="1022"/>
      <c r="V58" s="1022"/>
      <c r="W58" s="1022"/>
      <c r="X58" s="1022"/>
      <c r="Y58" s="1022"/>
      <c r="Z58" s="1022"/>
      <c r="AA58" s="1022"/>
      <c r="AB58" s="1022"/>
      <c r="AC58" s="1022"/>
      <c r="AD58" s="1022"/>
      <c r="AE58" s="1023"/>
      <c r="AF58" s="1024" t="s">
        <v>112</v>
      </c>
      <c r="AG58" s="1025"/>
      <c r="AH58" s="1025"/>
      <c r="AI58" s="1025"/>
      <c r="AJ58" s="1026"/>
      <c r="AK58" s="1027"/>
      <c r="AL58" s="1028"/>
      <c r="AM58" s="23"/>
    </row>
    <row r="59" spans="1:43" customFormat="1" ht="18" customHeight="1">
      <c r="A59" s="1030" t="str">
        <f>IF(OR(Overview!S35="",Overview!S35="Permanent Housing"),"§301 Permanent Housing Requirements","§301 Permanent Housing Requirements (skip this application section as your Project Type is Interim Housing; please complete §302)")</f>
        <v>§301 Permanent Housing Requirements</v>
      </c>
      <c r="B59" s="1031"/>
      <c r="C59" s="1031"/>
      <c r="D59" s="1031"/>
      <c r="E59" s="1031"/>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c r="AE59" s="1031"/>
      <c r="AF59" s="1031"/>
      <c r="AG59" s="1031"/>
      <c r="AH59" s="1031"/>
      <c r="AI59" s="1031"/>
      <c r="AJ59" s="1031"/>
      <c r="AK59" s="1031"/>
      <c r="AL59" s="1032"/>
    </row>
    <row r="60" spans="1:43" customFormat="1" ht="45" customHeight="1">
      <c r="A60" s="960" t="s">
        <v>235</v>
      </c>
      <c r="B60" s="961"/>
      <c r="C60" s="961"/>
      <c r="D60" s="961"/>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c r="AG60" s="961"/>
      <c r="AH60" s="961"/>
      <c r="AI60" s="961"/>
      <c r="AJ60" s="961"/>
      <c r="AK60" s="923"/>
      <c r="AL60" s="924"/>
    </row>
    <row r="61" spans="1:43" customFormat="1" ht="30" customHeight="1">
      <c r="A61" s="960" t="s">
        <v>236</v>
      </c>
      <c r="B61" s="961"/>
      <c r="C61" s="961"/>
      <c r="D61" s="961"/>
      <c r="E61" s="961"/>
      <c r="F61" s="961"/>
      <c r="G61" s="961"/>
      <c r="H61" s="961"/>
      <c r="I61" s="961"/>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1"/>
      <c r="AG61" s="961"/>
      <c r="AH61" s="961"/>
      <c r="AI61" s="961"/>
      <c r="AJ61" s="961"/>
      <c r="AK61" s="923"/>
      <c r="AL61" s="924"/>
    </row>
    <row r="62" spans="1:43" customFormat="1" ht="15" customHeight="1">
      <c r="A62" s="976" t="s">
        <v>237</v>
      </c>
      <c r="B62" s="977"/>
      <c r="C62" s="977"/>
      <c r="D62" s="977"/>
      <c r="E62" s="977"/>
      <c r="F62" s="977"/>
      <c r="G62" s="977"/>
      <c r="H62" s="977"/>
      <c r="I62" s="977"/>
      <c r="J62" s="977"/>
      <c r="K62" s="977"/>
      <c r="L62" s="977"/>
      <c r="M62" s="977"/>
      <c r="N62" s="977"/>
      <c r="O62" s="977"/>
      <c r="P62" s="977"/>
      <c r="Q62" s="977"/>
      <c r="R62" s="977"/>
      <c r="S62" s="977"/>
      <c r="T62" s="977"/>
      <c r="U62" s="977"/>
      <c r="V62" s="977"/>
      <c r="W62" s="977"/>
      <c r="X62" s="977"/>
      <c r="Y62" s="978"/>
      <c r="Z62" s="1033" t="s">
        <v>238</v>
      </c>
      <c r="AA62" s="1034"/>
      <c r="AB62" s="1034"/>
      <c r="AC62" s="1034"/>
      <c r="AD62" s="1034"/>
      <c r="AE62" s="1034"/>
      <c r="AF62" s="1034"/>
      <c r="AG62" s="1034"/>
      <c r="AH62" s="1034"/>
      <c r="AI62" s="1034"/>
      <c r="AJ62" s="1035"/>
      <c r="AK62" s="1036" t="str">
        <f>IF(AND(AK63="Yes",A65&lt;&gt;"",Q65&lt;&gt;"",V65&lt;&gt;"",AC65&lt;&gt;"",AJ65&lt;&gt;""),"Yes",IF(AK66="Yes","Yes","No"))</f>
        <v>No</v>
      </c>
      <c r="AL62" s="1037"/>
    </row>
    <row r="63" spans="1:43" customFormat="1" ht="15" customHeight="1">
      <c r="A63" s="960" t="s">
        <v>239</v>
      </c>
      <c r="B63" s="961"/>
      <c r="C63" s="961"/>
      <c r="D63" s="961"/>
      <c r="E63" s="961"/>
      <c r="F63" s="961"/>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23"/>
      <c r="AL63" s="924"/>
      <c r="AQ63" s="2"/>
    </row>
    <row r="64" spans="1:43" s="31" customFormat="1" ht="60" customHeight="1">
      <c r="A64" s="955" t="s">
        <v>240</v>
      </c>
      <c r="B64" s="956"/>
      <c r="C64" s="956"/>
      <c r="D64" s="956"/>
      <c r="E64" s="956"/>
      <c r="F64" s="956"/>
      <c r="G64" s="956"/>
      <c r="H64" s="956"/>
      <c r="I64" s="956"/>
      <c r="J64" s="956"/>
      <c r="K64" s="956"/>
      <c r="L64" s="956"/>
      <c r="M64" s="956"/>
      <c r="N64" s="956"/>
      <c r="O64" s="956"/>
      <c r="P64" s="956"/>
      <c r="Q64" s="957" t="s">
        <v>241</v>
      </c>
      <c r="R64" s="958"/>
      <c r="S64" s="958"/>
      <c r="T64" s="958"/>
      <c r="U64" s="959"/>
      <c r="V64" s="957" t="s">
        <v>242</v>
      </c>
      <c r="W64" s="958"/>
      <c r="X64" s="958"/>
      <c r="Y64" s="959"/>
      <c r="Z64" s="957" t="s">
        <v>243</v>
      </c>
      <c r="AA64" s="958"/>
      <c r="AB64" s="958"/>
      <c r="AC64" s="957" t="s">
        <v>244</v>
      </c>
      <c r="AD64" s="958"/>
      <c r="AE64" s="958"/>
      <c r="AF64" s="958"/>
      <c r="AG64" s="958"/>
      <c r="AH64" s="958"/>
      <c r="AI64" s="959"/>
      <c r="AJ64" s="973" t="s">
        <v>245</v>
      </c>
      <c r="AK64" s="974"/>
      <c r="AL64" s="975"/>
      <c r="AM64"/>
    </row>
    <row r="65" spans="1:40" s="29" customFormat="1" ht="30" customHeight="1">
      <c r="A65" s="925" t="s">
        <v>246</v>
      </c>
      <c r="B65" s="926"/>
      <c r="C65" s="926"/>
      <c r="D65" s="926"/>
      <c r="E65" s="926"/>
      <c r="F65" s="926"/>
      <c r="G65" s="926"/>
      <c r="H65" s="926"/>
      <c r="I65" s="926"/>
      <c r="J65" s="926"/>
      <c r="K65" s="926"/>
      <c r="L65" s="926"/>
      <c r="M65" s="926"/>
      <c r="N65" s="926"/>
      <c r="O65" s="926"/>
      <c r="P65" s="926"/>
      <c r="Q65" s="928"/>
      <c r="R65" s="929"/>
      <c r="S65" s="929"/>
      <c r="T65" s="929"/>
      <c r="U65" s="930"/>
      <c r="V65" s="970"/>
      <c r="W65" s="971"/>
      <c r="X65" s="971"/>
      <c r="Y65" s="972"/>
      <c r="Z65" s="944" t="s">
        <v>247</v>
      </c>
      <c r="AA65" s="945"/>
      <c r="AB65" s="945"/>
      <c r="AC65" s="928"/>
      <c r="AD65" s="929"/>
      <c r="AE65" s="929"/>
      <c r="AF65" s="929"/>
      <c r="AG65" s="929"/>
      <c r="AH65" s="929"/>
      <c r="AI65" s="930"/>
      <c r="AJ65" s="952"/>
      <c r="AK65" s="953"/>
      <c r="AL65" s="954"/>
      <c r="AM65" s="31"/>
    </row>
    <row r="66" spans="1:40" customFormat="1" ht="30" customHeight="1">
      <c r="A66" s="960" t="s">
        <v>248</v>
      </c>
      <c r="B66" s="961"/>
      <c r="C66" s="961"/>
      <c r="D66" s="961"/>
      <c r="E66" s="961"/>
      <c r="F66" s="961"/>
      <c r="G66" s="961"/>
      <c r="H66" s="961"/>
      <c r="I66" s="961"/>
      <c r="J66" s="961"/>
      <c r="K66" s="961"/>
      <c r="L66" s="961"/>
      <c r="M66" s="961"/>
      <c r="N66" s="961"/>
      <c r="O66" s="961"/>
      <c r="P66" s="961"/>
      <c r="Q66" s="961"/>
      <c r="R66" s="961"/>
      <c r="S66" s="961"/>
      <c r="T66" s="961"/>
      <c r="U66" s="961"/>
      <c r="V66" s="961"/>
      <c r="W66" s="961"/>
      <c r="X66" s="961"/>
      <c r="Y66" s="961"/>
      <c r="Z66" s="961"/>
      <c r="AA66" s="961"/>
      <c r="AB66" s="961"/>
      <c r="AC66" s="961"/>
      <c r="AD66" s="961"/>
      <c r="AE66" s="961"/>
      <c r="AF66" s="961"/>
      <c r="AG66" s="961"/>
      <c r="AH66" s="961"/>
      <c r="AI66" s="961"/>
      <c r="AJ66" s="961"/>
      <c r="AK66" s="968" t="str">
        <f>IF(AND(SUM(AM68:AM69)&gt;0,SUM(AN68:AN69)&gt;1),"Yes","No")</f>
        <v>No</v>
      </c>
      <c r="AL66" s="969"/>
    </row>
    <row r="67" spans="1:40" s="31" customFormat="1" ht="60" customHeight="1">
      <c r="A67" s="955" t="s">
        <v>240</v>
      </c>
      <c r="B67" s="956"/>
      <c r="C67" s="956"/>
      <c r="D67" s="956"/>
      <c r="E67" s="956"/>
      <c r="F67" s="956"/>
      <c r="G67" s="956"/>
      <c r="H67" s="956"/>
      <c r="I67" s="956"/>
      <c r="J67" s="956"/>
      <c r="K67" s="956"/>
      <c r="L67" s="956"/>
      <c r="M67" s="956"/>
      <c r="N67" s="956"/>
      <c r="O67" s="956"/>
      <c r="P67" s="956"/>
      <c r="Q67" s="957" t="s">
        <v>241</v>
      </c>
      <c r="R67" s="958"/>
      <c r="S67" s="958"/>
      <c r="T67" s="958"/>
      <c r="U67" s="959"/>
      <c r="V67" s="957" t="s">
        <v>242</v>
      </c>
      <c r="W67" s="958"/>
      <c r="X67" s="958"/>
      <c r="Y67" s="959"/>
      <c r="Z67" s="957" t="s">
        <v>243</v>
      </c>
      <c r="AA67" s="958"/>
      <c r="AB67" s="958"/>
      <c r="AC67" s="957" t="s">
        <v>249</v>
      </c>
      <c r="AD67" s="958"/>
      <c r="AE67" s="958"/>
      <c r="AF67" s="958"/>
      <c r="AG67" s="958"/>
      <c r="AH67" s="958"/>
      <c r="AI67" s="959"/>
      <c r="AJ67" s="973" t="s">
        <v>245</v>
      </c>
      <c r="AK67" s="974"/>
      <c r="AL67" s="975"/>
      <c r="AM67" s="362">
        <v>44448</v>
      </c>
      <c r="AN67" s="362">
        <f>AM67-(365*10)</f>
        <v>40798</v>
      </c>
    </row>
    <row r="68" spans="1:40" s="29" customFormat="1" ht="30" customHeight="1">
      <c r="A68" s="925"/>
      <c r="B68" s="926"/>
      <c r="C68" s="926"/>
      <c r="D68" s="926"/>
      <c r="E68" s="926"/>
      <c r="F68" s="926"/>
      <c r="G68" s="926"/>
      <c r="H68" s="926"/>
      <c r="I68" s="926"/>
      <c r="J68" s="926"/>
      <c r="K68" s="926"/>
      <c r="L68" s="926"/>
      <c r="M68" s="926"/>
      <c r="N68" s="926"/>
      <c r="O68" s="926"/>
      <c r="P68" s="926"/>
      <c r="Q68" s="928"/>
      <c r="R68" s="929"/>
      <c r="S68" s="929"/>
      <c r="T68" s="929"/>
      <c r="U68" s="930"/>
      <c r="V68" s="970"/>
      <c r="W68" s="971"/>
      <c r="X68" s="971"/>
      <c r="Y68" s="972"/>
      <c r="Z68" s="944" t="s">
        <v>247</v>
      </c>
      <c r="AA68" s="945"/>
      <c r="AB68" s="945"/>
      <c r="AC68" s="928"/>
      <c r="AD68" s="929"/>
      <c r="AE68" s="929"/>
      <c r="AF68" s="929"/>
      <c r="AG68" s="929"/>
      <c r="AH68" s="929"/>
      <c r="AI68" s="930"/>
      <c r="AJ68" s="952"/>
      <c r="AK68" s="953"/>
      <c r="AL68" s="954"/>
      <c r="AM68" s="360">
        <f>IF(AND(A68&lt;&gt;"",AC68&lt;&gt;""),1,0)</f>
        <v>0</v>
      </c>
      <c r="AN68" s="360">
        <f>IF(AND(A68&lt;&gt;"",AJ68&gt;AN67),1,0)</f>
        <v>0</v>
      </c>
    </row>
    <row r="69" spans="1:40" s="29" customFormat="1" ht="30" customHeight="1">
      <c r="A69" s="925"/>
      <c r="B69" s="926"/>
      <c r="C69" s="926"/>
      <c r="D69" s="926"/>
      <c r="E69" s="926"/>
      <c r="F69" s="926"/>
      <c r="G69" s="926"/>
      <c r="H69" s="926"/>
      <c r="I69" s="926"/>
      <c r="J69" s="926"/>
      <c r="K69" s="926"/>
      <c r="L69" s="926"/>
      <c r="M69" s="926"/>
      <c r="N69" s="926"/>
      <c r="O69" s="926"/>
      <c r="P69" s="926"/>
      <c r="Q69" s="928"/>
      <c r="R69" s="929"/>
      <c r="S69" s="929"/>
      <c r="T69" s="929"/>
      <c r="U69" s="930"/>
      <c r="V69" s="970"/>
      <c r="W69" s="971"/>
      <c r="X69" s="971"/>
      <c r="Y69" s="972"/>
      <c r="Z69" s="944" t="s">
        <v>247</v>
      </c>
      <c r="AA69" s="945"/>
      <c r="AB69" s="945"/>
      <c r="AC69" s="928"/>
      <c r="AD69" s="929"/>
      <c r="AE69" s="929"/>
      <c r="AF69" s="929"/>
      <c r="AG69" s="929"/>
      <c r="AH69" s="929"/>
      <c r="AI69" s="930"/>
      <c r="AJ69" s="952"/>
      <c r="AK69" s="953"/>
      <c r="AL69" s="954"/>
      <c r="AM69" s="360">
        <f>IF(AND(A69&lt;&gt;"",AC69&lt;&gt;""),1,0)</f>
        <v>0</v>
      </c>
      <c r="AN69" s="360">
        <f>IF(AND(A69&lt;&gt;"",AJ69&gt;AN67),1,0)</f>
        <v>0</v>
      </c>
    </row>
    <row r="70" spans="1:40" customFormat="1" ht="30" customHeight="1">
      <c r="A70" s="976" t="s">
        <v>250</v>
      </c>
      <c r="B70" s="977"/>
      <c r="C70" s="977"/>
      <c r="D70" s="977"/>
      <c r="E70" s="977"/>
      <c r="F70" s="977"/>
      <c r="G70" s="977"/>
      <c r="H70" s="977"/>
      <c r="I70" s="977"/>
      <c r="J70" s="977"/>
      <c r="K70" s="977"/>
      <c r="L70" s="977"/>
      <c r="M70" s="977"/>
      <c r="N70" s="1039" t="s">
        <v>251</v>
      </c>
      <c r="O70" s="1040"/>
      <c r="P70" s="1040"/>
      <c r="Q70" s="1040"/>
      <c r="R70" s="1041"/>
      <c r="S70" s="1043">
        <f>SUM(AN73:AN77)/12</f>
        <v>0</v>
      </c>
      <c r="T70" s="1044"/>
      <c r="U70" s="1040" t="s">
        <v>252</v>
      </c>
      <c r="V70" s="1040"/>
      <c r="W70" s="1040"/>
      <c r="X70" s="1040"/>
      <c r="Y70" s="1040"/>
      <c r="Z70" s="1040"/>
      <c r="AA70" s="1043">
        <f>SUM(AN79:AN83)/12</f>
        <v>0</v>
      </c>
      <c r="AB70" s="1044"/>
      <c r="AC70" s="1033" t="s">
        <v>253</v>
      </c>
      <c r="AD70" s="1034"/>
      <c r="AE70" s="1034"/>
      <c r="AF70" s="1034"/>
      <c r="AG70" s="1034"/>
      <c r="AH70" s="1034"/>
      <c r="AI70" s="1034"/>
      <c r="AJ70" s="1035"/>
      <c r="AK70" s="1046" t="str">
        <f>IF(AND(OR(S70&gt;=3,AND(G71="No",AK71="Yes")),AA70&gt;=3),"Yes","No")</f>
        <v>No</v>
      </c>
      <c r="AL70" s="1047"/>
    </row>
    <row r="71" spans="1:40" customFormat="1" ht="45" customHeight="1">
      <c r="A71" s="976" t="s">
        <v>254</v>
      </c>
      <c r="B71" s="977"/>
      <c r="C71" s="977"/>
      <c r="D71" s="977"/>
      <c r="E71" s="977"/>
      <c r="F71" s="977"/>
      <c r="G71" s="1045"/>
      <c r="H71" s="1045"/>
      <c r="I71" s="1039" t="s">
        <v>255</v>
      </c>
      <c r="J71" s="1040"/>
      <c r="K71" s="1040"/>
      <c r="L71" s="1040"/>
      <c r="M71" s="1040"/>
      <c r="N71" s="1040"/>
      <c r="O71" s="1040"/>
      <c r="P71" s="1041"/>
      <c r="Q71" s="1042"/>
      <c r="R71" s="926"/>
      <c r="S71" s="926"/>
      <c r="T71" s="926"/>
      <c r="U71" s="926"/>
      <c r="V71" s="926"/>
      <c r="W71" s="926"/>
      <c r="X71" s="926"/>
      <c r="Y71" s="926"/>
      <c r="Z71" s="1039" t="s">
        <v>256</v>
      </c>
      <c r="AA71" s="1040"/>
      <c r="AB71" s="1040"/>
      <c r="AC71" s="1040"/>
      <c r="AD71" s="1040"/>
      <c r="AE71" s="1040"/>
      <c r="AF71" s="1040"/>
      <c r="AG71" s="1040"/>
      <c r="AH71" s="1040"/>
      <c r="AI71" s="1040"/>
      <c r="AJ71" s="1041"/>
      <c r="AK71" s="1045"/>
      <c r="AL71" s="1049"/>
    </row>
    <row r="72" spans="1:40" s="31" customFormat="1" ht="43.5" customHeight="1">
      <c r="A72" s="955" t="s">
        <v>240</v>
      </c>
      <c r="B72" s="956"/>
      <c r="C72" s="956"/>
      <c r="D72" s="956"/>
      <c r="E72" s="956"/>
      <c r="F72" s="956"/>
      <c r="G72" s="956"/>
      <c r="H72" s="956"/>
      <c r="I72" s="956"/>
      <c r="J72" s="956"/>
      <c r="K72" s="956"/>
      <c r="L72" s="956"/>
      <c r="M72" s="956"/>
      <c r="N72" s="956"/>
      <c r="O72" s="956"/>
      <c r="P72" s="956"/>
      <c r="Q72" s="956"/>
      <c r="R72" s="956"/>
      <c r="S72" s="956"/>
      <c r="T72" s="1038"/>
      <c r="U72" s="957" t="s">
        <v>257</v>
      </c>
      <c r="V72" s="958"/>
      <c r="W72" s="958"/>
      <c r="X72" s="958"/>
      <c r="Y72" s="958"/>
      <c r="Z72" s="959"/>
      <c r="AA72" s="957" t="s">
        <v>243</v>
      </c>
      <c r="AB72" s="958"/>
      <c r="AC72" s="958"/>
      <c r="AD72" s="957" t="s">
        <v>258</v>
      </c>
      <c r="AE72" s="958"/>
      <c r="AF72" s="958"/>
      <c r="AG72" s="958"/>
      <c r="AH72" s="958"/>
      <c r="AI72" s="958"/>
      <c r="AJ72" s="959"/>
      <c r="AK72" s="957" t="s">
        <v>259</v>
      </c>
      <c r="AL72" s="1048"/>
      <c r="AM72" s="29"/>
    </row>
    <row r="73" spans="1:40" s="29" customFormat="1" ht="30" customHeight="1">
      <c r="A73" s="925"/>
      <c r="B73" s="926"/>
      <c r="C73" s="926"/>
      <c r="D73" s="926"/>
      <c r="E73" s="926"/>
      <c r="F73" s="926"/>
      <c r="G73" s="926"/>
      <c r="H73" s="926"/>
      <c r="I73" s="926"/>
      <c r="J73" s="926"/>
      <c r="K73" s="926"/>
      <c r="L73" s="926"/>
      <c r="M73" s="926"/>
      <c r="N73" s="926"/>
      <c r="O73" s="926"/>
      <c r="P73" s="926"/>
      <c r="Q73" s="926"/>
      <c r="R73" s="926"/>
      <c r="S73" s="926"/>
      <c r="T73" s="927"/>
      <c r="U73" s="944" t="s">
        <v>260</v>
      </c>
      <c r="V73" s="945"/>
      <c r="W73" s="945"/>
      <c r="X73" s="945"/>
      <c r="Y73" s="945"/>
      <c r="Z73" s="946"/>
      <c r="AA73" s="944" t="s">
        <v>247</v>
      </c>
      <c r="AB73" s="945"/>
      <c r="AC73" s="945"/>
      <c r="AD73" s="928"/>
      <c r="AE73" s="929"/>
      <c r="AF73" s="929"/>
      <c r="AG73" s="929"/>
      <c r="AH73" s="929"/>
      <c r="AI73" s="929"/>
      <c r="AJ73" s="930"/>
      <c r="AK73" s="947"/>
      <c r="AL73" s="948"/>
      <c r="AM73" s="360">
        <f>IF(AND(A73&lt;&gt;"",AD73&lt;&gt;""),1,0)</f>
        <v>0</v>
      </c>
      <c r="AN73" s="363">
        <f>IF(AM73=1,AK73,0)</f>
        <v>0</v>
      </c>
    </row>
    <row r="74" spans="1:40" s="29" customFormat="1" ht="30" customHeight="1">
      <c r="A74" s="925"/>
      <c r="B74" s="926"/>
      <c r="C74" s="926"/>
      <c r="D74" s="926"/>
      <c r="E74" s="926"/>
      <c r="F74" s="926"/>
      <c r="G74" s="926"/>
      <c r="H74" s="926"/>
      <c r="I74" s="926"/>
      <c r="J74" s="926"/>
      <c r="K74" s="926"/>
      <c r="L74" s="926"/>
      <c r="M74" s="926"/>
      <c r="N74" s="926"/>
      <c r="O74" s="926"/>
      <c r="P74" s="926"/>
      <c r="Q74" s="926"/>
      <c r="R74" s="926"/>
      <c r="S74" s="926"/>
      <c r="T74" s="927"/>
      <c r="U74" s="944" t="s">
        <v>260</v>
      </c>
      <c r="V74" s="945"/>
      <c r="W74" s="945"/>
      <c r="X74" s="945"/>
      <c r="Y74" s="945"/>
      <c r="Z74" s="946"/>
      <c r="AA74" s="944" t="s">
        <v>247</v>
      </c>
      <c r="AB74" s="945"/>
      <c r="AC74" s="945"/>
      <c r="AD74" s="928"/>
      <c r="AE74" s="929"/>
      <c r="AF74" s="929"/>
      <c r="AG74" s="929"/>
      <c r="AH74" s="929"/>
      <c r="AI74" s="929"/>
      <c r="AJ74" s="930"/>
      <c r="AK74" s="947"/>
      <c r="AL74" s="948"/>
      <c r="AM74" s="360">
        <f t="shared" ref="AM74:AM77" si="0">IF(AND(A74&lt;&gt;"",AD74&lt;&gt;""),1,0)</f>
        <v>0</v>
      </c>
      <c r="AN74" s="363">
        <f t="shared" ref="AN74:AN83" si="1">IF(AM74=1,AK74,0)</f>
        <v>0</v>
      </c>
    </row>
    <row r="75" spans="1:40" s="29" customFormat="1" ht="30" customHeight="1">
      <c r="A75" s="925"/>
      <c r="B75" s="926"/>
      <c r="C75" s="926"/>
      <c r="D75" s="926"/>
      <c r="E75" s="926"/>
      <c r="F75" s="926"/>
      <c r="G75" s="926"/>
      <c r="H75" s="926"/>
      <c r="I75" s="926"/>
      <c r="J75" s="926"/>
      <c r="K75" s="926"/>
      <c r="L75" s="926"/>
      <c r="M75" s="926"/>
      <c r="N75" s="926"/>
      <c r="O75" s="926"/>
      <c r="P75" s="926"/>
      <c r="Q75" s="926"/>
      <c r="R75" s="926"/>
      <c r="S75" s="926"/>
      <c r="T75" s="927"/>
      <c r="U75" s="944" t="s">
        <v>260</v>
      </c>
      <c r="V75" s="945"/>
      <c r="W75" s="945"/>
      <c r="X75" s="945"/>
      <c r="Y75" s="945"/>
      <c r="Z75" s="946"/>
      <c r="AA75" s="944" t="s">
        <v>247</v>
      </c>
      <c r="AB75" s="945"/>
      <c r="AC75" s="945"/>
      <c r="AD75" s="928"/>
      <c r="AE75" s="929"/>
      <c r="AF75" s="929"/>
      <c r="AG75" s="929"/>
      <c r="AH75" s="929"/>
      <c r="AI75" s="929"/>
      <c r="AJ75" s="930"/>
      <c r="AK75" s="947"/>
      <c r="AL75" s="948"/>
      <c r="AM75" s="360">
        <f t="shared" si="0"/>
        <v>0</v>
      </c>
      <c r="AN75" s="363">
        <f t="shared" si="1"/>
        <v>0</v>
      </c>
    </row>
    <row r="76" spans="1:40" s="29" customFormat="1" ht="30" customHeight="1">
      <c r="A76" s="925"/>
      <c r="B76" s="926"/>
      <c r="C76" s="926"/>
      <c r="D76" s="926"/>
      <c r="E76" s="926"/>
      <c r="F76" s="926"/>
      <c r="G76" s="926"/>
      <c r="H76" s="926"/>
      <c r="I76" s="926"/>
      <c r="J76" s="926"/>
      <c r="K76" s="926"/>
      <c r="L76" s="926"/>
      <c r="M76" s="926"/>
      <c r="N76" s="926"/>
      <c r="O76" s="926"/>
      <c r="P76" s="926"/>
      <c r="Q76" s="926"/>
      <c r="R76" s="926"/>
      <c r="S76" s="926"/>
      <c r="T76" s="927"/>
      <c r="U76" s="944" t="s">
        <v>260</v>
      </c>
      <c r="V76" s="945"/>
      <c r="W76" s="945"/>
      <c r="X76" s="945"/>
      <c r="Y76" s="945"/>
      <c r="Z76" s="946"/>
      <c r="AA76" s="944" t="s">
        <v>247</v>
      </c>
      <c r="AB76" s="945"/>
      <c r="AC76" s="945"/>
      <c r="AD76" s="928"/>
      <c r="AE76" s="929"/>
      <c r="AF76" s="929"/>
      <c r="AG76" s="929"/>
      <c r="AH76" s="929"/>
      <c r="AI76" s="929"/>
      <c r="AJ76" s="930"/>
      <c r="AK76" s="947"/>
      <c r="AL76" s="948"/>
      <c r="AM76" s="360">
        <f t="shared" si="0"/>
        <v>0</v>
      </c>
      <c r="AN76" s="363">
        <f t="shared" ref="AN76" si="2">IF(AM76=1,AK76,0)</f>
        <v>0</v>
      </c>
    </row>
    <row r="77" spans="1:40" s="29" customFormat="1" ht="30" customHeight="1" thickBot="1">
      <c r="A77" s="925"/>
      <c r="B77" s="926"/>
      <c r="C77" s="926"/>
      <c r="D77" s="926"/>
      <c r="E77" s="926"/>
      <c r="F77" s="926"/>
      <c r="G77" s="926"/>
      <c r="H77" s="926"/>
      <c r="I77" s="926"/>
      <c r="J77" s="926"/>
      <c r="K77" s="926"/>
      <c r="L77" s="926"/>
      <c r="M77" s="926"/>
      <c r="N77" s="926"/>
      <c r="O77" s="926"/>
      <c r="P77" s="926"/>
      <c r="Q77" s="926"/>
      <c r="R77" s="926"/>
      <c r="S77" s="926"/>
      <c r="T77" s="927"/>
      <c r="U77" s="931" t="s">
        <v>260</v>
      </c>
      <c r="V77" s="932"/>
      <c r="W77" s="932"/>
      <c r="X77" s="932"/>
      <c r="Y77" s="932"/>
      <c r="Z77" s="933"/>
      <c r="AA77" s="931" t="s">
        <v>247</v>
      </c>
      <c r="AB77" s="932"/>
      <c r="AC77" s="932"/>
      <c r="AD77" s="934"/>
      <c r="AE77" s="935"/>
      <c r="AF77" s="935"/>
      <c r="AG77" s="935"/>
      <c r="AH77" s="935"/>
      <c r="AI77" s="935"/>
      <c r="AJ77" s="936"/>
      <c r="AK77" s="942"/>
      <c r="AL77" s="943"/>
      <c r="AM77" s="360">
        <f t="shared" si="0"/>
        <v>0</v>
      </c>
      <c r="AN77" s="363">
        <f t="shared" ref="AN77" si="3">IF(AM77=1,AK77,0)</f>
        <v>0</v>
      </c>
    </row>
    <row r="78" spans="1:40" s="29" customFormat="1" ht="15" customHeight="1">
      <c r="A78" s="937" t="s">
        <v>261</v>
      </c>
      <c r="B78" s="938"/>
      <c r="C78" s="938"/>
      <c r="D78" s="938"/>
      <c r="E78" s="938"/>
      <c r="F78" s="938"/>
      <c r="G78" s="938"/>
      <c r="H78" s="938"/>
      <c r="I78" s="938"/>
      <c r="J78" s="938"/>
      <c r="K78" s="938"/>
      <c r="L78" s="938"/>
      <c r="M78" s="938"/>
      <c r="N78" s="938"/>
      <c r="O78" s="938"/>
      <c r="P78" s="938"/>
      <c r="Q78" s="938"/>
      <c r="R78" s="938"/>
      <c r="S78" s="938"/>
      <c r="T78" s="938"/>
      <c r="U78" s="939"/>
      <c r="V78" s="940"/>
      <c r="W78" s="940"/>
      <c r="X78" s="940"/>
      <c r="Y78" s="940"/>
      <c r="Z78" s="940"/>
      <c r="AA78" s="940"/>
      <c r="AB78" s="940"/>
      <c r="AC78" s="940"/>
      <c r="AD78" s="940"/>
      <c r="AE78" s="940"/>
      <c r="AF78" s="940"/>
      <c r="AG78" s="940"/>
      <c r="AH78" s="940"/>
      <c r="AI78" s="940"/>
      <c r="AJ78" s="940"/>
      <c r="AK78" s="940"/>
      <c r="AL78" s="941"/>
      <c r="AM78" s="360"/>
      <c r="AN78" s="363"/>
    </row>
    <row r="79" spans="1:40" s="29" customFormat="1" ht="30" customHeight="1">
      <c r="A79" s="925"/>
      <c r="B79" s="926"/>
      <c r="C79" s="926"/>
      <c r="D79" s="926"/>
      <c r="E79" s="926"/>
      <c r="F79" s="926"/>
      <c r="G79" s="926"/>
      <c r="H79" s="926"/>
      <c r="I79" s="926"/>
      <c r="J79" s="926"/>
      <c r="K79" s="926"/>
      <c r="L79" s="926"/>
      <c r="M79" s="926"/>
      <c r="N79" s="926"/>
      <c r="O79" s="926"/>
      <c r="P79" s="926"/>
      <c r="Q79" s="926"/>
      <c r="R79" s="926"/>
      <c r="S79" s="926"/>
      <c r="T79" s="927"/>
      <c r="U79" s="944" t="s">
        <v>262</v>
      </c>
      <c r="V79" s="945"/>
      <c r="W79" s="945"/>
      <c r="X79" s="945"/>
      <c r="Y79" s="945"/>
      <c r="Z79" s="946"/>
      <c r="AA79" s="944" t="s">
        <v>247</v>
      </c>
      <c r="AB79" s="945"/>
      <c r="AC79" s="945"/>
      <c r="AD79" s="928"/>
      <c r="AE79" s="929"/>
      <c r="AF79" s="929"/>
      <c r="AG79" s="929"/>
      <c r="AH79" s="929"/>
      <c r="AI79" s="929"/>
      <c r="AJ79" s="930"/>
      <c r="AK79" s="947"/>
      <c r="AL79" s="948"/>
      <c r="AM79" s="360">
        <f t="shared" ref="AM79:AM83" si="4">IF(AND(A79&lt;&gt;"",AD79&lt;&gt;""),1,0)</f>
        <v>0</v>
      </c>
      <c r="AN79" s="363">
        <f t="shared" si="1"/>
        <v>0</v>
      </c>
    </row>
    <row r="80" spans="1:40" s="29" customFormat="1" ht="30" customHeight="1">
      <c r="A80" s="925"/>
      <c r="B80" s="926"/>
      <c r="C80" s="926"/>
      <c r="D80" s="926"/>
      <c r="E80" s="926"/>
      <c r="F80" s="926"/>
      <c r="G80" s="926"/>
      <c r="H80" s="926"/>
      <c r="I80" s="926"/>
      <c r="J80" s="926"/>
      <c r="K80" s="926"/>
      <c r="L80" s="926"/>
      <c r="M80" s="926"/>
      <c r="N80" s="926"/>
      <c r="O80" s="926"/>
      <c r="P80" s="926"/>
      <c r="Q80" s="926"/>
      <c r="R80" s="926"/>
      <c r="S80" s="926"/>
      <c r="T80" s="927"/>
      <c r="U80" s="944" t="s">
        <v>262</v>
      </c>
      <c r="V80" s="945"/>
      <c r="W80" s="945"/>
      <c r="X80" s="945"/>
      <c r="Y80" s="945"/>
      <c r="Z80" s="946"/>
      <c r="AA80" s="944" t="s">
        <v>247</v>
      </c>
      <c r="AB80" s="945"/>
      <c r="AC80" s="945"/>
      <c r="AD80" s="928"/>
      <c r="AE80" s="929"/>
      <c r="AF80" s="929"/>
      <c r="AG80" s="929"/>
      <c r="AH80" s="929"/>
      <c r="AI80" s="929"/>
      <c r="AJ80" s="930"/>
      <c r="AK80" s="947"/>
      <c r="AL80" s="948"/>
      <c r="AM80" s="360">
        <f t="shared" si="4"/>
        <v>0</v>
      </c>
      <c r="AN80" s="363">
        <f t="shared" si="1"/>
        <v>0</v>
      </c>
    </row>
    <row r="81" spans="1:40" s="29" customFormat="1" ht="30" customHeight="1">
      <c r="A81" s="925"/>
      <c r="B81" s="926"/>
      <c r="C81" s="926"/>
      <c r="D81" s="926"/>
      <c r="E81" s="926"/>
      <c r="F81" s="926"/>
      <c r="G81" s="926"/>
      <c r="H81" s="926"/>
      <c r="I81" s="926"/>
      <c r="J81" s="926"/>
      <c r="K81" s="926"/>
      <c r="L81" s="926"/>
      <c r="M81" s="926"/>
      <c r="N81" s="926"/>
      <c r="O81" s="926"/>
      <c r="P81" s="926"/>
      <c r="Q81" s="926"/>
      <c r="R81" s="926"/>
      <c r="S81" s="926"/>
      <c r="T81" s="927"/>
      <c r="U81" s="944" t="s">
        <v>262</v>
      </c>
      <c r="V81" s="945"/>
      <c r="W81" s="945"/>
      <c r="X81" s="945"/>
      <c r="Y81" s="945"/>
      <c r="Z81" s="946"/>
      <c r="AA81" s="944" t="s">
        <v>247</v>
      </c>
      <c r="AB81" s="945"/>
      <c r="AC81" s="945"/>
      <c r="AD81" s="928"/>
      <c r="AE81" s="929"/>
      <c r="AF81" s="929"/>
      <c r="AG81" s="929"/>
      <c r="AH81" s="929"/>
      <c r="AI81" s="929"/>
      <c r="AJ81" s="930"/>
      <c r="AK81" s="947"/>
      <c r="AL81" s="948"/>
      <c r="AM81" s="360">
        <f t="shared" si="4"/>
        <v>0</v>
      </c>
      <c r="AN81" s="363">
        <f t="shared" si="1"/>
        <v>0</v>
      </c>
    </row>
    <row r="82" spans="1:40" s="29" customFormat="1" ht="30" customHeight="1">
      <c r="A82" s="925"/>
      <c r="B82" s="926"/>
      <c r="C82" s="926"/>
      <c r="D82" s="926"/>
      <c r="E82" s="926"/>
      <c r="F82" s="926"/>
      <c r="G82" s="926"/>
      <c r="H82" s="926"/>
      <c r="I82" s="926"/>
      <c r="J82" s="926"/>
      <c r="K82" s="926"/>
      <c r="L82" s="926"/>
      <c r="M82" s="926"/>
      <c r="N82" s="926"/>
      <c r="O82" s="926"/>
      <c r="P82" s="926"/>
      <c r="Q82" s="926"/>
      <c r="R82" s="926"/>
      <c r="S82" s="926"/>
      <c r="T82" s="927"/>
      <c r="U82" s="944" t="s">
        <v>262</v>
      </c>
      <c r="V82" s="945"/>
      <c r="W82" s="945"/>
      <c r="X82" s="945"/>
      <c r="Y82" s="945"/>
      <c r="Z82" s="946"/>
      <c r="AA82" s="944" t="s">
        <v>247</v>
      </c>
      <c r="AB82" s="945"/>
      <c r="AC82" s="945"/>
      <c r="AD82" s="928"/>
      <c r="AE82" s="929"/>
      <c r="AF82" s="929"/>
      <c r="AG82" s="929"/>
      <c r="AH82" s="929"/>
      <c r="AI82" s="929"/>
      <c r="AJ82" s="930"/>
      <c r="AK82" s="947"/>
      <c r="AL82" s="948"/>
      <c r="AM82" s="360">
        <f t="shared" si="4"/>
        <v>0</v>
      </c>
      <c r="AN82" s="363">
        <f t="shared" si="1"/>
        <v>0</v>
      </c>
    </row>
    <row r="83" spans="1:40" s="29" customFormat="1" ht="30" customHeight="1">
      <c r="A83" s="925"/>
      <c r="B83" s="926"/>
      <c r="C83" s="926"/>
      <c r="D83" s="926"/>
      <c r="E83" s="926"/>
      <c r="F83" s="926"/>
      <c r="G83" s="926"/>
      <c r="H83" s="926"/>
      <c r="I83" s="926"/>
      <c r="J83" s="926"/>
      <c r="K83" s="926"/>
      <c r="L83" s="926"/>
      <c r="M83" s="926"/>
      <c r="N83" s="926"/>
      <c r="O83" s="926"/>
      <c r="P83" s="926"/>
      <c r="Q83" s="926"/>
      <c r="R83" s="926"/>
      <c r="S83" s="926"/>
      <c r="T83" s="927"/>
      <c r="U83" s="944" t="s">
        <v>262</v>
      </c>
      <c r="V83" s="945"/>
      <c r="W83" s="945"/>
      <c r="X83" s="945"/>
      <c r="Y83" s="945"/>
      <c r="Z83" s="946"/>
      <c r="AA83" s="944" t="s">
        <v>247</v>
      </c>
      <c r="AB83" s="945"/>
      <c r="AC83" s="945"/>
      <c r="AD83" s="928"/>
      <c r="AE83" s="929"/>
      <c r="AF83" s="929"/>
      <c r="AG83" s="929"/>
      <c r="AH83" s="929"/>
      <c r="AI83" s="929"/>
      <c r="AJ83" s="930"/>
      <c r="AK83" s="947"/>
      <c r="AL83" s="948"/>
      <c r="AM83" s="360">
        <f t="shared" si="4"/>
        <v>0</v>
      </c>
      <c r="AN83" s="363">
        <f t="shared" si="1"/>
        <v>0</v>
      </c>
    </row>
    <row r="84" spans="1:40" customFormat="1" ht="15" customHeight="1">
      <c r="A84" s="960" t="s">
        <v>263</v>
      </c>
      <c r="B84" s="961"/>
      <c r="C84" s="961"/>
      <c r="D84" s="961"/>
      <c r="E84" s="961"/>
      <c r="F84" s="961"/>
      <c r="G84" s="961"/>
      <c r="H84" s="961"/>
      <c r="I84" s="961"/>
      <c r="J84" s="961"/>
      <c r="K84" s="961"/>
      <c r="L84" s="961"/>
      <c r="M84" s="961"/>
      <c r="N84" s="961"/>
      <c r="O84" s="961"/>
      <c r="P84" s="961"/>
      <c r="Q84" s="961"/>
      <c r="R84" s="961"/>
      <c r="S84" s="961"/>
      <c r="T84" s="961"/>
      <c r="U84" s="961"/>
      <c r="V84" s="961"/>
      <c r="W84" s="961"/>
      <c r="X84" s="961"/>
      <c r="Y84" s="961"/>
      <c r="Z84" s="961"/>
      <c r="AA84" s="961"/>
      <c r="AB84" s="961"/>
      <c r="AC84" s="961"/>
      <c r="AD84" s="961"/>
      <c r="AE84" s="961"/>
      <c r="AF84" s="961"/>
      <c r="AG84" s="961"/>
      <c r="AH84" s="961"/>
      <c r="AI84" s="961"/>
      <c r="AJ84" s="961"/>
      <c r="AK84" s="923"/>
      <c r="AL84" s="924"/>
    </row>
    <row r="85" spans="1:40" s="24" customFormat="1" ht="30" customHeight="1">
      <c r="A85" s="1083" t="s">
        <v>152</v>
      </c>
      <c r="B85" s="1084"/>
      <c r="C85" s="1084"/>
      <c r="D85" s="1085" t="s">
        <v>264</v>
      </c>
      <c r="E85" s="1086"/>
      <c r="F85" s="1086"/>
      <c r="G85" s="1086"/>
      <c r="H85" s="1086"/>
      <c r="I85" s="1086"/>
      <c r="J85" s="1086"/>
      <c r="K85" s="1087"/>
      <c r="L85" s="1077" t="s">
        <v>265</v>
      </c>
      <c r="M85" s="1078"/>
      <c r="N85" s="1078"/>
      <c r="O85" s="1078"/>
      <c r="P85" s="1078"/>
      <c r="Q85" s="1078"/>
      <c r="R85" s="1078"/>
      <c r="S85" s="1078"/>
      <c r="T85" s="1078"/>
      <c r="U85" s="1078"/>
      <c r="V85" s="1078"/>
      <c r="W85" s="1078"/>
      <c r="X85" s="1078"/>
      <c r="Y85" s="1078"/>
      <c r="Z85" s="1078"/>
      <c r="AA85" s="1078"/>
      <c r="AB85" s="1078"/>
      <c r="AC85" s="1078"/>
      <c r="AD85" s="1078"/>
      <c r="AE85" s="1079"/>
      <c r="AF85" s="811" t="s">
        <v>112</v>
      </c>
      <c r="AG85" s="812"/>
      <c r="AH85" s="812"/>
      <c r="AI85" s="812"/>
      <c r="AJ85" s="813"/>
      <c r="AK85" s="923"/>
      <c r="AL85" s="924"/>
      <c r="AM85" s="23"/>
    </row>
    <row r="86" spans="1:40" s="16" customFormat="1" ht="15" customHeight="1">
      <c r="A86" s="962" t="s">
        <v>266</v>
      </c>
      <c r="B86" s="963"/>
      <c r="C86" s="963"/>
      <c r="D86" s="963"/>
      <c r="E86" s="963"/>
      <c r="F86" s="963"/>
      <c r="G86" s="963"/>
      <c r="H86" s="963"/>
      <c r="I86" s="963"/>
      <c r="J86" s="963"/>
      <c r="K86" s="963"/>
      <c r="L86" s="963"/>
      <c r="M86" s="963"/>
      <c r="N86" s="963"/>
      <c r="O86" s="963"/>
      <c r="P86" s="963"/>
      <c r="Q86" s="963"/>
      <c r="R86" s="963"/>
      <c r="S86" s="963"/>
      <c r="T86" s="963"/>
      <c r="U86" s="963"/>
      <c r="V86" s="963"/>
      <c r="W86" s="963"/>
      <c r="X86" s="963"/>
      <c r="Y86" s="963"/>
      <c r="Z86" s="963"/>
      <c r="AA86" s="963"/>
      <c r="AB86" s="963"/>
      <c r="AC86" s="963"/>
      <c r="AD86" s="963"/>
      <c r="AE86" s="963"/>
      <c r="AF86" s="963"/>
      <c r="AG86" s="963"/>
      <c r="AH86" s="963"/>
      <c r="AI86" s="963"/>
      <c r="AJ86" s="963"/>
      <c r="AK86" s="963"/>
      <c r="AL86" s="964"/>
      <c r="AM86"/>
      <c r="AN86" s="18"/>
    </row>
    <row r="87" spans="1:40" customFormat="1" ht="15" customHeight="1">
      <c r="A87" s="960" t="s">
        <v>267</v>
      </c>
      <c r="B87" s="961"/>
      <c r="C87" s="961"/>
      <c r="D87" s="961"/>
      <c r="E87" s="961"/>
      <c r="F87" s="961"/>
      <c r="G87" s="961"/>
      <c r="H87" s="961"/>
      <c r="I87" s="961"/>
      <c r="J87" s="961"/>
      <c r="K87" s="961"/>
      <c r="L87" s="961"/>
      <c r="M87" s="961"/>
      <c r="N87" s="961"/>
      <c r="O87" s="961"/>
      <c r="P87" s="961"/>
      <c r="Q87" s="961"/>
      <c r="R87" s="961"/>
      <c r="S87" s="961"/>
      <c r="T87" s="961"/>
      <c r="U87" s="961"/>
      <c r="V87" s="961"/>
      <c r="W87" s="961"/>
      <c r="X87" s="961"/>
      <c r="Y87" s="961"/>
      <c r="Z87" s="961"/>
      <c r="AA87" s="961"/>
      <c r="AB87" s="961"/>
      <c r="AC87" s="961"/>
      <c r="AD87" s="961"/>
      <c r="AE87" s="961"/>
      <c r="AF87" s="961"/>
      <c r="AG87" s="961"/>
      <c r="AH87" s="961"/>
      <c r="AI87" s="961"/>
      <c r="AJ87" s="961"/>
      <c r="AK87" s="923"/>
      <c r="AL87" s="924"/>
    </row>
    <row r="88" spans="1:40" customFormat="1" ht="15" customHeight="1">
      <c r="A88" s="960" t="s">
        <v>268</v>
      </c>
      <c r="B88" s="961"/>
      <c r="C88" s="961"/>
      <c r="D88" s="961"/>
      <c r="E88" s="961"/>
      <c r="F88" s="961"/>
      <c r="G88" s="961"/>
      <c r="H88" s="961"/>
      <c r="I88" s="961"/>
      <c r="J88" s="961"/>
      <c r="K88" s="961"/>
      <c r="L88" s="961"/>
      <c r="M88" s="961"/>
      <c r="N88" s="961"/>
      <c r="O88" s="961"/>
      <c r="P88" s="961"/>
      <c r="Q88" s="961"/>
      <c r="R88" s="961"/>
      <c r="S88" s="961"/>
      <c r="T88" s="961"/>
      <c r="U88" s="961"/>
      <c r="V88" s="961"/>
      <c r="W88" s="961"/>
      <c r="X88" s="961"/>
      <c r="Y88" s="961"/>
      <c r="Z88" s="961"/>
      <c r="AA88" s="961"/>
      <c r="AB88" s="961"/>
      <c r="AC88" s="961"/>
      <c r="AD88" s="961"/>
      <c r="AE88" s="961"/>
      <c r="AF88" s="961"/>
      <c r="AG88" s="961"/>
      <c r="AH88" s="961"/>
      <c r="AI88" s="961"/>
      <c r="AJ88" s="961"/>
      <c r="AK88" s="923"/>
      <c r="AL88" s="924"/>
    </row>
    <row r="89" spans="1:40" s="24" customFormat="1" ht="60" customHeight="1">
      <c r="A89" s="1083" t="s">
        <v>152</v>
      </c>
      <c r="B89" s="1084"/>
      <c r="C89" s="1084"/>
      <c r="D89" s="1085" t="s">
        <v>269</v>
      </c>
      <c r="E89" s="1086"/>
      <c r="F89" s="1086"/>
      <c r="G89" s="1086"/>
      <c r="H89" s="1086"/>
      <c r="I89" s="1086"/>
      <c r="J89" s="1086"/>
      <c r="K89" s="1087"/>
      <c r="L89" s="1077" t="s">
        <v>270</v>
      </c>
      <c r="M89" s="1078"/>
      <c r="N89" s="1078"/>
      <c r="O89" s="1078"/>
      <c r="P89" s="1078"/>
      <c r="Q89" s="1078"/>
      <c r="R89" s="1078"/>
      <c r="S89" s="1078"/>
      <c r="T89" s="1078"/>
      <c r="U89" s="1078"/>
      <c r="V89" s="1078"/>
      <c r="W89" s="1078"/>
      <c r="X89" s="1078"/>
      <c r="Y89" s="1078"/>
      <c r="Z89" s="1078"/>
      <c r="AA89" s="1078"/>
      <c r="AB89" s="1078"/>
      <c r="AC89" s="1078"/>
      <c r="AD89" s="1078"/>
      <c r="AE89" s="1079"/>
      <c r="AF89" s="811" t="s">
        <v>112</v>
      </c>
      <c r="AG89" s="812"/>
      <c r="AH89" s="812"/>
      <c r="AI89" s="812"/>
      <c r="AJ89" s="813"/>
      <c r="AK89" s="923"/>
      <c r="AL89" s="924"/>
      <c r="AM89" s="23"/>
    </row>
    <row r="90" spans="1:40" customFormat="1" ht="15" customHeight="1">
      <c r="A90" s="960" t="s">
        <v>271</v>
      </c>
      <c r="B90" s="961"/>
      <c r="C90" s="961"/>
      <c r="D90" s="961"/>
      <c r="E90" s="961"/>
      <c r="F90" s="961"/>
      <c r="G90" s="961"/>
      <c r="H90" s="961"/>
      <c r="I90" s="961"/>
      <c r="J90" s="961"/>
      <c r="K90" s="961"/>
      <c r="L90" s="961"/>
      <c r="M90" s="961"/>
      <c r="N90" s="961"/>
      <c r="O90" s="961"/>
      <c r="P90" s="961"/>
      <c r="Q90" s="961"/>
      <c r="R90" s="961"/>
      <c r="S90" s="961"/>
      <c r="T90" s="961"/>
      <c r="U90" s="961"/>
      <c r="V90" s="961"/>
      <c r="W90" s="961"/>
      <c r="X90" s="961"/>
      <c r="Y90" s="961"/>
      <c r="Z90" s="961"/>
      <c r="AA90" s="961"/>
      <c r="AB90" s="961"/>
      <c r="AC90" s="961"/>
      <c r="AD90" s="961"/>
      <c r="AE90" s="961"/>
      <c r="AF90" s="961"/>
      <c r="AG90" s="961"/>
      <c r="AH90" s="961"/>
      <c r="AI90" s="961"/>
      <c r="AJ90" s="961"/>
      <c r="AK90" s="923"/>
      <c r="AL90" s="924"/>
    </row>
    <row r="91" spans="1:40" s="24" customFormat="1" ht="15" customHeight="1">
      <c r="A91" s="1083" t="s">
        <v>152</v>
      </c>
      <c r="B91" s="1084"/>
      <c r="C91" s="1084"/>
      <c r="D91" s="1085" t="s">
        <v>272</v>
      </c>
      <c r="E91" s="1086"/>
      <c r="F91" s="1086"/>
      <c r="G91" s="1086"/>
      <c r="H91" s="1086"/>
      <c r="I91" s="1086"/>
      <c r="J91" s="1086"/>
      <c r="K91" s="1087"/>
      <c r="L91" s="1088" t="s">
        <v>273</v>
      </c>
      <c r="M91" s="1089"/>
      <c r="N91" s="1089"/>
      <c r="O91" s="1089"/>
      <c r="P91" s="1089"/>
      <c r="Q91" s="1089"/>
      <c r="R91" s="1089"/>
      <c r="S91" s="1089"/>
      <c r="T91" s="1089"/>
      <c r="U91" s="1089"/>
      <c r="V91" s="1089"/>
      <c r="W91" s="1089"/>
      <c r="X91" s="1089"/>
      <c r="Y91" s="1089"/>
      <c r="Z91" s="1089"/>
      <c r="AA91" s="1089"/>
      <c r="AB91" s="1089"/>
      <c r="AC91" s="1089"/>
      <c r="AD91" s="1089"/>
      <c r="AE91" s="1090"/>
      <c r="AF91" s="811" t="s">
        <v>112</v>
      </c>
      <c r="AG91" s="812"/>
      <c r="AH91" s="812"/>
      <c r="AI91" s="812"/>
      <c r="AJ91" s="813"/>
      <c r="AK91" s="923"/>
      <c r="AL91" s="924"/>
      <c r="AM91" s="23"/>
    </row>
    <row r="92" spans="1:40" s="24" customFormat="1" ht="60" customHeight="1" thickBot="1">
      <c r="A92" s="1050" t="s">
        <v>152</v>
      </c>
      <c r="B92" s="1051"/>
      <c r="C92" s="1051"/>
      <c r="D92" s="1061" t="s">
        <v>274</v>
      </c>
      <c r="E92" s="1062"/>
      <c r="F92" s="1062"/>
      <c r="G92" s="1062"/>
      <c r="H92" s="1062"/>
      <c r="I92" s="1062"/>
      <c r="J92" s="1062"/>
      <c r="K92" s="1063"/>
      <c r="L92" s="1052" t="s">
        <v>275</v>
      </c>
      <c r="M92" s="1053"/>
      <c r="N92" s="1053"/>
      <c r="O92" s="1053"/>
      <c r="P92" s="1053"/>
      <c r="Q92" s="1053"/>
      <c r="R92" s="1053"/>
      <c r="S92" s="1053"/>
      <c r="T92" s="1053"/>
      <c r="U92" s="1053"/>
      <c r="V92" s="1053"/>
      <c r="W92" s="1053"/>
      <c r="X92" s="1053"/>
      <c r="Y92" s="1053"/>
      <c r="Z92" s="1053"/>
      <c r="AA92" s="1053"/>
      <c r="AB92" s="1053"/>
      <c r="AC92" s="1053"/>
      <c r="AD92" s="1053"/>
      <c r="AE92" s="1054"/>
      <c r="AF92" s="1055" t="s">
        <v>112</v>
      </c>
      <c r="AG92" s="1056"/>
      <c r="AH92" s="1056"/>
      <c r="AI92" s="1056"/>
      <c r="AJ92" s="1057"/>
      <c r="AK92" s="1058"/>
      <c r="AL92" s="1059"/>
      <c r="AM92" s="23"/>
    </row>
    <row r="93" spans="1:40" customFormat="1" ht="18" customHeight="1">
      <c r="A93" s="1030" t="str">
        <f>IF(Overview!S35&lt;&gt;"Permanent Housing","§302 Interim Housing Requirements","§302 Interim Housing Requirements (skip this application section as your Project Type is Perament Housing; please complete §301)")</f>
        <v>§302 Interim Housing Requirements</v>
      </c>
      <c r="B93" s="1031"/>
      <c r="C93" s="1031"/>
      <c r="D93" s="1031"/>
      <c r="E93" s="1031"/>
      <c r="F93" s="1031"/>
      <c r="G93" s="1031"/>
      <c r="H93" s="1031"/>
      <c r="I93" s="1031"/>
      <c r="J93" s="1031"/>
      <c r="K93" s="1031"/>
      <c r="L93" s="1031"/>
      <c r="M93" s="1031"/>
      <c r="N93" s="1031"/>
      <c r="O93" s="1031"/>
      <c r="P93" s="1031"/>
      <c r="Q93" s="1031"/>
      <c r="R93" s="1031"/>
      <c r="S93" s="1031"/>
      <c r="T93" s="1031"/>
      <c r="U93" s="1031"/>
      <c r="V93" s="1031"/>
      <c r="W93" s="1031"/>
      <c r="X93" s="1031"/>
      <c r="Y93" s="1031"/>
      <c r="Z93" s="1031"/>
      <c r="AA93" s="1031"/>
      <c r="AB93" s="1031"/>
      <c r="AC93" s="1031"/>
      <c r="AD93" s="1031"/>
      <c r="AE93" s="1031"/>
      <c r="AF93" s="1031"/>
      <c r="AG93" s="1031"/>
      <c r="AH93" s="1031"/>
      <c r="AI93" s="1031"/>
      <c r="AJ93" s="1031"/>
      <c r="AK93" s="1031"/>
      <c r="AL93" s="1032"/>
    </row>
    <row r="94" spans="1:40" customFormat="1" ht="45" customHeight="1">
      <c r="A94" s="960" t="s">
        <v>276</v>
      </c>
      <c r="B94" s="961"/>
      <c r="C94" s="961"/>
      <c r="D94" s="961"/>
      <c r="E94" s="961"/>
      <c r="F94" s="961"/>
      <c r="G94" s="961"/>
      <c r="H94" s="961"/>
      <c r="I94" s="961"/>
      <c r="J94" s="961"/>
      <c r="K94" s="961"/>
      <c r="L94" s="961"/>
      <c r="M94" s="961"/>
      <c r="N94" s="961"/>
      <c r="O94" s="961"/>
      <c r="P94" s="961"/>
      <c r="Q94" s="961"/>
      <c r="R94" s="961"/>
      <c r="S94" s="961"/>
      <c r="T94" s="961"/>
      <c r="U94" s="961"/>
      <c r="V94" s="961"/>
      <c r="W94" s="961"/>
      <c r="X94" s="961"/>
      <c r="Y94" s="961"/>
      <c r="Z94" s="961"/>
      <c r="AA94" s="961"/>
      <c r="AB94" s="961"/>
      <c r="AC94" s="961"/>
      <c r="AD94" s="961"/>
      <c r="AE94" s="961"/>
      <c r="AF94" s="961"/>
      <c r="AG94" s="961"/>
      <c r="AH94" s="961"/>
      <c r="AI94" s="961"/>
      <c r="AJ94" s="961"/>
      <c r="AK94" s="923"/>
      <c r="AL94" s="924"/>
    </row>
    <row r="95" spans="1:40" customFormat="1" ht="15" customHeight="1">
      <c r="A95" s="960" t="s">
        <v>277</v>
      </c>
      <c r="B95" s="961"/>
      <c r="C95" s="961"/>
      <c r="D95" s="961"/>
      <c r="E95" s="961"/>
      <c r="F95" s="961"/>
      <c r="G95" s="961"/>
      <c r="H95" s="961"/>
      <c r="I95" s="961"/>
      <c r="J95" s="961"/>
      <c r="K95" s="961"/>
      <c r="L95" s="961"/>
      <c r="M95" s="961"/>
      <c r="N95" s="961"/>
      <c r="O95" s="961"/>
      <c r="P95" s="961"/>
      <c r="Q95" s="961"/>
      <c r="R95" s="961"/>
      <c r="S95" s="961"/>
      <c r="T95" s="961"/>
      <c r="U95" s="961"/>
      <c r="V95" s="961"/>
      <c r="W95" s="961"/>
      <c r="X95" s="961"/>
      <c r="Y95" s="961"/>
      <c r="Z95" s="961"/>
      <c r="AA95" s="961"/>
      <c r="AB95" s="961"/>
      <c r="AC95" s="961"/>
      <c r="AD95" s="961"/>
      <c r="AE95" s="961"/>
      <c r="AF95" s="961"/>
      <c r="AG95" s="961"/>
      <c r="AH95" s="961"/>
      <c r="AI95" s="961"/>
      <c r="AJ95" s="961"/>
      <c r="AK95" s="923"/>
      <c r="AL95" s="924"/>
    </row>
    <row r="96" spans="1:40" customFormat="1" ht="30" customHeight="1">
      <c r="A96" s="976" t="s">
        <v>278</v>
      </c>
      <c r="B96" s="977"/>
      <c r="C96" s="977"/>
      <c r="D96" s="977"/>
      <c r="E96" s="977"/>
      <c r="F96" s="977"/>
      <c r="G96" s="977"/>
      <c r="H96" s="977"/>
      <c r="I96" s="977"/>
      <c r="J96" s="977"/>
      <c r="K96" s="977"/>
      <c r="L96" s="977"/>
      <c r="M96" s="977"/>
      <c r="N96" s="977"/>
      <c r="O96" s="977"/>
      <c r="P96" s="977"/>
      <c r="Q96" s="977"/>
      <c r="R96" s="977"/>
      <c r="S96" s="977"/>
      <c r="T96" s="977"/>
      <c r="U96" s="977"/>
      <c r="V96" s="977"/>
      <c r="W96" s="977"/>
      <c r="X96" s="977"/>
      <c r="Y96" s="977"/>
      <c r="Z96" s="977"/>
      <c r="AA96" s="977"/>
      <c r="AB96" s="978"/>
      <c r="AC96" s="1093" t="s">
        <v>279</v>
      </c>
      <c r="AD96" s="1094"/>
      <c r="AE96" s="1095">
        <f>SUM(AN98:AN104)/12</f>
        <v>0</v>
      </c>
      <c r="AF96" s="1096"/>
      <c r="AG96" s="1097"/>
      <c r="AH96" s="1093" t="s">
        <v>280</v>
      </c>
      <c r="AI96" s="1098"/>
      <c r="AJ96" s="1094"/>
      <c r="AK96" s="968" t="str">
        <f>IF(AE96&gt;=3,"Yes","No")</f>
        <v>No</v>
      </c>
      <c r="AL96" s="969"/>
    </row>
    <row r="97" spans="1:40" s="31" customFormat="1" ht="60" customHeight="1">
      <c r="A97" s="955" t="s">
        <v>281</v>
      </c>
      <c r="B97" s="956"/>
      <c r="C97" s="956"/>
      <c r="D97" s="956"/>
      <c r="E97" s="956"/>
      <c r="F97" s="956"/>
      <c r="G97" s="956"/>
      <c r="H97" s="956"/>
      <c r="I97" s="956"/>
      <c r="J97" s="956"/>
      <c r="K97" s="956"/>
      <c r="L97" s="956"/>
      <c r="M97" s="956"/>
      <c r="N97" s="956"/>
      <c r="O97" s="956"/>
      <c r="P97" s="957" t="s">
        <v>282</v>
      </c>
      <c r="Q97" s="958"/>
      <c r="R97" s="958"/>
      <c r="S97" s="958"/>
      <c r="T97" s="959"/>
      <c r="U97" s="957" t="s">
        <v>242</v>
      </c>
      <c r="V97" s="958"/>
      <c r="W97" s="958"/>
      <c r="X97" s="958"/>
      <c r="Y97" s="957" t="s">
        <v>283</v>
      </c>
      <c r="Z97" s="958"/>
      <c r="AA97" s="958"/>
      <c r="AB97" s="958"/>
      <c r="AC97" s="958"/>
      <c r="AD97" s="957" t="s">
        <v>258</v>
      </c>
      <c r="AE97" s="958"/>
      <c r="AF97" s="958"/>
      <c r="AG97" s="958"/>
      <c r="AH97" s="958"/>
      <c r="AI97" s="959"/>
      <c r="AJ97" s="957" t="s">
        <v>284</v>
      </c>
      <c r="AK97" s="958"/>
      <c r="AL97" s="1048"/>
      <c r="AM97" s="29"/>
    </row>
    <row r="98" spans="1:40" s="29" customFormat="1" ht="30" customHeight="1">
      <c r="A98" s="925"/>
      <c r="B98" s="926"/>
      <c r="C98" s="926"/>
      <c r="D98" s="926"/>
      <c r="E98" s="926"/>
      <c r="F98" s="926"/>
      <c r="G98" s="926"/>
      <c r="H98" s="926"/>
      <c r="I98" s="926"/>
      <c r="J98" s="926"/>
      <c r="K98" s="926"/>
      <c r="L98" s="926"/>
      <c r="M98" s="926"/>
      <c r="N98" s="926"/>
      <c r="O98" s="926"/>
      <c r="P98" s="928"/>
      <c r="Q98" s="929"/>
      <c r="R98" s="929"/>
      <c r="S98" s="929"/>
      <c r="T98" s="930"/>
      <c r="U98" s="970"/>
      <c r="V98" s="971"/>
      <c r="W98" s="971"/>
      <c r="X98" s="971"/>
      <c r="Y98" s="970"/>
      <c r="Z98" s="971"/>
      <c r="AA98" s="971"/>
      <c r="AB98" s="971"/>
      <c r="AC98" s="971"/>
      <c r="AD98" s="928"/>
      <c r="AE98" s="929"/>
      <c r="AF98" s="929"/>
      <c r="AG98" s="929"/>
      <c r="AH98" s="929"/>
      <c r="AI98" s="930"/>
      <c r="AJ98" s="947"/>
      <c r="AK98" s="1060"/>
      <c r="AL98" s="948"/>
      <c r="AM98" s="360">
        <f>IF(AND(A98&lt;&gt;"",P98&lt;&gt;"",U98&lt;&gt;"",Y98&lt;&gt;"",AD98&lt;&gt;""),1,0)</f>
        <v>0</v>
      </c>
      <c r="AN98" s="363">
        <f>IF(AM98=1,AJ98,0)</f>
        <v>0</v>
      </c>
    </row>
    <row r="99" spans="1:40" s="29" customFormat="1" ht="30" customHeight="1">
      <c r="A99" s="925"/>
      <c r="B99" s="926"/>
      <c r="C99" s="926"/>
      <c r="D99" s="926"/>
      <c r="E99" s="926"/>
      <c r="F99" s="926"/>
      <c r="G99" s="926"/>
      <c r="H99" s="926"/>
      <c r="I99" s="926"/>
      <c r="J99" s="926"/>
      <c r="K99" s="926"/>
      <c r="L99" s="926"/>
      <c r="M99" s="926"/>
      <c r="N99" s="926"/>
      <c r="O99" s="926"/>
      <c r="P99" s="928"/>
      <c r="Q99" s="929"/>
      <c r="R99" s="929"/>
      <c r="S99" s="929"/>
      <c r="T99" s="930"/>
      <c r="U99" s="970"/>
      <c r="V99" s="971"/>
      <c r="W99" s="971"/>
      <c r="X99" s="971"/>
      <c r="Y99" s="970"/>
      <c r="Z99" s="971"/>
      <c r="AA99" s="971"/>
      <c r="AB99" s="971"/>
      <c r="AC99" s="971"/>
      <c r="AD99" s="928"/>
      <c r="AE99" s="929"/>
      <c r="AF99" s="929"/>
      <c r="AG99" s="929"/>
      <c r="AH99" s="929"/>
      <c r="AI99" s="930"/>
      <c r="AJ99" s="947"/>
      <c r="AK99" s="1060"/>
      <c r="AL99" s="948"/>
      <c r="AM99" s="360">
        <f t="shared" ref="AM99:AM104" si="5">IF(AND(A99&lt;&gt;"",P99&lt;&gt;"",U99&lt;&gt;"",Y99&lt;&gt;"",AD99&lt;&gt;""),1,0)</f>
        <v>0</v>
      </c>
      <c r="AN99" s="363">
        <f t="shared" ref="AN99:AN104" si="6">IF(AM99=1,AJ99,0)</f>
        <v>0</v>
      </c>
    </row>
    <row r="100" spans="1:40" s="29" customFormat="1" ht="30" customHeight="1">
      <c r="A100" s="925"/>
      <c r="B100" s="926"/>
      <c r="C100" s="926"/>
      <c r="D100" s="926"/>
      <c r="E100" s="926"/>
      <c r="F100" s="926"/>
      <c r="G100" s="926"/>
      <c r="H100" s="926"/>
      <c r="I100" s="926"/>
      <c r="J100" s="926"/>
      <c r="K100" s="926"/>
      <c r="L100" s="926"/>
      <c r="M100" s="926"/>
      <c r="N100" s="926"/>
      <c r="O100" s="926"/>
      <c r="P100" s="928"/>
      <c r="Q100" s="929"/>
      <c r="R100" s="929"/>
      <c r="S100" s="929"/>
      <c r="T100" s="930"/>
      <c r="U100" s="970"/>
      <c r="V100" s="971"/>
      <c r="W100" s="971"/>
      <c r="X100" s="971"/>
      <c r="Y100" s="970"/>
      <c r="Z100" s="971"/>
      <c r="AA100" s="971"/>
      <c r="AB100" s="971"/>
      <c r="AC100" s="971"/>
      <c r="AD100" s="928"/>
      <c r="AE100" s="929"/>
      <c r="AF100" s="929"/>
      <c r="AG100" s="929"/>
      <c r="AH100" s="929"/>
      <c r="AI100" s="930"/>
      <c r="AJ100" s="947"/>
      <c r="AK100" s="1060"/>
      <c r="AL100" s="948"/>
      <c r="AM100" s="360">
        <f t="shared" si="5"/>
        <v>0</v>
      </c>
      <c r="AN100" s="363">
        <f t="shared" si="6"/>
        <v>0</v>
      </c>
    </row>
    <row r="101" spans="1:40" s="29" customFormat="1" ht="30" customHeight="1">
      <c r="A101" s="925"/>
      <c r="B101" s="926"/>
      <c r="C101" s="926"/>
      <c r="D101" s="926"/>
      <c r="E101" s="926"/>
      <c r="F101" s="926"/>
      <c r="G101" s="926"/>
      <c r="H101" s="926"/>
      <c r="I101" s="926"/>
      <c r="J101" s="926"/>
      <c r="K101" s="926"/>
      <c r="L101" s="926"/>
      <c r="M101" s="926"/>
      <c r="N101" s="926"/>
      <c r="O101" s="926"/>
      <c r="P101" s="928"/>
      <c r="Q101" s="929"/>
      <c r="R101" s="929"/>
      <c r="S101" s="929"/>
      <c r="T101" s="930"/>
      <c r="U101" s="970"/>
      <c r="V101" s="971"/>
      <c r="W101" s="971"/>
      <c r="X101" s="971"/>
      <c r="Y101" s="970"/>
      <c r="Z101" s="971"/>
      <c r="AA101" s="971"/>
      <c r="AB101" s="971"/>
      <c r="AC101" s="971"/>
      <c r="AD101" s="928"/>
      <c r="AE101" s="929"/>
      <c r="AF101" s="929"/>
      <c r="AG101" s="929"/>
      <c r="AH101" s="929"/>
      <c r="AI101" s="930"/>
      <c r="AJ101" s="947"/>
      <c r="AK101" s="1060"/>
      <c r="AL101" s="948"/>
      <c r="AM101" s="360">
        <f t="shared" si="5"/>
        <v>0</v>
      </c>
      <c r="AN101" s="363">
        <f t="shared" si="6"/>
        <v>0</v>
      </c>
    </row>
    <row r="102" spans="1:40" s="29" customFormat="1" ht="30" customHeight="1">
      <c r="A102" s="925"/>
      <c r="B102" s="926"/>
      <c r="C102" s="926"/>
      <c r="D102" s="926"/>
      <c r="E102" s="926"/>
      <c r="F102" s="926"/>
      <c r="G102" s="926"/>
      <c r="H102" s="926"/>
      <c r="I102" s="926"/>
      <c r="J102" s="926"/>
      <c r="K102" s="926"/>
      <c r="L102" s="926"/>
      <c r="M102" s="926"/>
      <c r="N102" s="926"/>
      <c r="O102" s="926"/>
      <c r="P102" s="928"/>
      <c r="Q102" s="929"/>
      <c r="R102" s="929"/>
      <c r="S102" s="929"/>
      <c r="T102" s="930"/>
      <c r="U102" s="970"/>
      <c r="V102" s="971"/>
      <c r="W102" s="971"/>
      <c r="X102" s="971"/>
      <c r="Y102" s="970"/>
      <c r="Z102" s="971"/>
      <c r="AA102" s="971"/>
      <c r="AB102" s="971"/>
      <c r="AC102" s="971"/>
      <c r="AD102" s="928"/>
      <c r="AE102" s="929"/>
      <c r="AF102" s="929"/>
      <c r="AG102" s="929"/>
      <c r="AH102" s="929"/>
      <c r="AI102" s="930"/>
      <c r="AJ102" s="947"/>
      <c r="AK102" s="1060"/>
      <c r="AL102" s="948"/>
      <c r="AM102" s="360">
        <f t="shared" si="5"/>
        <v>0</v>
      </c>
      <c r="AN102" s="363">
        <f t="shared" si="6"/>
        <v>0</v>
      </c>
    </row>
    <row r="103" spans="1:40" s="29" customFormat="1" ht="30" customHeight="1">
      <c r="A103" s="925"/>
      <c r="B103" s="926"/>
      <c r="C103" s="926"/>
      <c r="D103" s="926"/>
      <c r="E103" s="926"/>
      <c r="F103" s="926"/>
      <c r="G103" s="926"/>
      <c r="H103" s="926"/>
      <c r="I103" s="926"/>
      <c r="J103" s="926"/>
      <c r="K103" s="926"/>
      <c r="L103" s="926"/>
      <c r="M103" s="926"/>
      <c r="N103" s="926"/>
      <c r="O103" s="926"/>
      <c r="P103" s="928"/>
      <c r="Q103" s="929"/>
      <c r="R103" s="929"/>
      <c r="S103" s="929"/>
      <c r="T103" s="930"/>
      <c r="U103" s="970"/>
      <c r="V103" s="971"/>
      <c r="W103" s="971"/>
      <c r="X103" s="971"/>
      <c r="Y103" s="970"/>
      <c r="Z103" s="971"/>
      <c r="AA103" s="971"/>
      <c r="AB103" s="971"/>
      <c r="AC103" s="971"/>
      <c r="AD103" s="928"/>
      <c r="AE103" s="929"/>
      <c r="AF103" s="929"/>
      <c r="AG103" s="929"/>
      <c r="AH103" s="929"/>
      <c r="AI103" s="930"/>
      <c r="AJ103" s="947"/>
      <c r="AK103" s="1060"/>
      <c r="AL103" s="948"/>
      <c r="AM103" s="360">
        <f t="shared" si="5"/>
        <v>0</v>
      </c>
      <c r="AN103" s="363">
        <f t="shared" si="6"/>
        <v>0</v>
      </c>
    </row>
    <row r="104" spans="1:40" s="29" customFormat="1" ht="30" customHeight="1">
      <c r="A104" s="925"/>
      <c r="B104" s="926"/>
      <c r="C104" s="926"/>
      <c r="D104" s="926"/>
      <c r="E104" s="926"/>
      <c r="F104" s="926"/>
      <c r="G104" s="926"/>
      <c r="H104" s="926"/>
      <c r="I104" s="926"/>
      <c r="J104" s="926"/>
      <c r="K104" s="926"/>
      <c r="L104" s="926"/>
      <c r="M104" s="926"/>
      <c r="N104" s="926"/>
      <c r="O104" s="926"/>
      <c r="P104" s="928"/>
      <c r="Q104" s="929"/>
      <c r="R104" s="929"/>
      <c r="S104" s="929"/>
      <c r="T104" s="930"/>
      <c r="U104" s="970"/>
      <c r="V104" s="971"/>
      <c r="W104" s="971"/>
      <c r="X104" s="971"/>
      <c r="Y104" s="970"/>
      <c r="Z104" s="971"/>
      <c r="AA104" s="971"/>
      <c r="AB104" s="971"/>
      <c r="AC104" s="971"/>
      <c r="AD104" s="928"/>
      <c r="AE104" s="929"/>
      <c r="AF104" s="929"/>
      <c r="AG104" s="929"/>
      <c r="AH104" s="929"/>
      <c r="AI104" s="930"/>
      <c r="AJ104" s="947"/>
      <c r="AK104" s="1060"/>
      <c r="AL104" s="948"/>
      <c r="AM104" s="360">
        <f t="shared" si="5"/>
        <v>0</v>
      </c>
      <c r="AN104" s="363">
        <f t="shared" si="6"/>
        <v>0</v>
      </c>
    </row>
    <row r="105" spans="1:40" s="30" customFormat="1" ht="60" customHeight="1">
      <c r="A105" s="925" t="s">
        <v>285</v>
      </c>
      <c r="B105" s="926"/>
      <c r="C105" s="926"/>
      <c r="D105" s="926"/>
      <c r="E105" s="926"/>
      <c r="F105" s="926"/>
      <c r="G105" s="926"/>
      <c r="H105" s="926"/>
      <c r="I105" s="926"/>
      <c r="J105" s="926"/>
      <c r="K105" s="926"/>
      <c r="L105" s="926"/>
      <c r="M105" s="926"/>
      <c r="N105" s="926"/>
      <c r="O105" s="926"/>
      <c r="P105" s="926"/>
      <c r="Q105" s="926"/>
      <c r="R105" s="926"/>
      <c r="S105" s="926"/>
      <c r="T105" s="926"/>
      <c r="U105" s="926"/>
      <c r="V105" s="926"/>
      <c r="W105" s="926"/>
      <c r="X105" s="926"/>
      <c r="Y105" s="926"/>
      <c r="Z105" s="926"/>
      <c r="AA105" s="926"/>
      <c r="AB105" s="926"/>
      <c r="AC105" s="926"/>
      <c r="AD105" s="926"/>
      <c r="AE105" s="926"/>
      <c r="AF105" s="926"/>
      <c r="AG105" s="926"/>
      <c r="AH105" s="926"/>
      <c r="AI105" s="926"/>
      <c r="AJ105" s="926"/>
      <c r="AK105" s="926"/>
      <c r="AL105" s="1082"/>
      <c r="AM105" s="360"/>
      <c r="AN105" s="363"/>
    </row>
    <row r="106" spans="1:40" customFormat="1" ht="15" customHeight="1">
      <c r="A106" s="960" t="s">
        <v>286</v>
      </c>
      <c r="B106" s="961"/>
      <c r="C106" s="961"/>
      <c r="D106" s="961"/>
      <c r="E106" s="961"/>
      <c r="F106" s="961"/>
      <c r="G106" s="961"/>
      <c r="H106" s="961"/>
      <c r="I106" s="961"/>
      <c r="J106" s="961"/>
      <c r="K106" s="961"/>
      <c r="L106" s="961"/>
      <c r="M106" s="961"/>
      <c r="N106" s="961"/>
      <c r="O106" s="961"/>
      <c r="P106" s="961"/>
      <c r="Q106" s="961"/>
      <c r="R106" s="961"/>
      <c r="S106" s="961"/>
      <c r="T106" s="961"/>
      <c r="U106" s="961"/>
      <c r="V106" s="961"/>
      <c r="W106" s="961"/>
      <c r="X106" s="961"/>
      <c r="Y106" s="961"/>
      <c r="Z106" s="961"/>
      <c r="AA106" s="961"/>
      <c r="AB106" s="961"/>
      <c r="AC106" s="961"/>
      <c r="AD106" s="961"/>
      <c r="AE106" s="961"/>
      <c r="AF106" s="961"/>
      <c r="AG106" s="961"/>
      <c r="AH106" s="961"/>
      <c r="AI106" s="961"/>
      <c r="AJ106" s="961"/>
      <c r="AK106" s="923"/>
      <c r="AL106" s="924"/>
      <c r="AM106" s="360"/>
      <c r="AN106" s="363"/>
    </row>
    <row r="107" spans="1:40" s="24" customFormat="1" ht="30" customHeight="1">
      <c r="A107" s="1083" t="s">
        <v>152</v>
      </c>
      <c r="B107" s="1084"/>
      <c r="C107" s="1084"/>
      <c r="D107" s="1085" t="s">
        <v>287</v>
      </c>
      <c r="E107" s="1086"/>
      <c r="F107" s="1086"/>
      <c r="G107" s="1086"/>
      <c r="H107" s="1086"/>
      <c r="I107" s="1086"/>
      <c r="J107" s="1086"/>
      <c r="K107" s="1087"/>
      <c r="L107" s="1077" t="s">
        <v>288</v>
      </c>
      <c r="M107" s="1078"/>
      <c r="N107" s="1078"/>
      <c r="O107" s="1078"/>
      <c r="P107" s="1078"/>
      <c r="Q107" s="1078"/>
      <c r="R107" s="1078"/>
      <c r="S107" s="1078"/>
      <c r="T107" s="1078"/>
      <c r="U107" s="1078"/>
      <c r="V107" s="1078"/>
      <c r="W107" s="1078"/>
      <c r="X107" s="1078"/>
      <c r="Y107" s="1078"/>
      <c r="Z107" s="1078"/>
      <c r="AA107" s="1078"/>
      <c r="AB107" s="1078"/>
      <c r="AC107" s="1078"/>
      <c r="AD107" s="1078"/>
      <c r="AE107" s="1079"/>
      <c r="AF107" s="811" t="s">
        <v>112</v>
      </c>
      <c r="AG107" s="812"/>
      <c r="AH107" s="812"/>
      <c r="AI107" s="812"/>
      <c r="AJ107" s="813"/>
      <c r="AK107" s="923"/>
      <c r="AL107" s="924"/>
      <c r="AM107" s="360"/>
      <c r="AN107" s="363"/>
    </row>
    <row r="108" spans="1:40" customFormat="1" ht="15" customHeight="1">
      <c r="A108" s="960" t="s">
        <v>289</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23"/>
      <c r="AL108" s="924"/>
      <c r="AM108" s="23"/>
    </row>
    <row r="109" spans="1:40" s="24" customFormat="1" ht="30" customHeight="1" thickBot="1">
      <c r="A109" s="1050" t="s">
        <v>152</v>
      </c>
      <c r="B109" s="1051"/>
      <c r="C109" s="1051"/>
      <c r="D109" s="1061" t="s">
        <v>290</v>
      </c>
      <c r="E109" s="1062"/>
      <c r="F109" s="1062"/>
      <c r="G109" s="1062"/>
      <c r="H109" s="1062"/>
      <c r="I109" s="1062"/>
      <c r="J109" s="1062"/>
      <c r="K109" s="1063"/>
      <c r="L109" s="1064" t="s">
        <v>291</v>
      </c>
      <c r="M109" s="1065"/>
      <c r="N109" s="1065"/>
      <c r="O109" s="1065"/>
      <c r="P109" s="1065"/>
      <c r="Q109" s="1065"/>
      <c r="R109" s="1065"/>
      <c r="S109" s="1065"/>
      <c r="T109" s="1065"/>
      <c r="U109" s="1065"/>
      <c r="V109" s="1065"/>
      <c r="W109" s="1065"/>
      <c r="X109" s="1065"/>
      <c r="Y109" s="1065"/>
      <c r="Z109" s="1065"/>
      <c r="AA109" s="1065"/>
      <c r="AB109" s="1065"/>
      <c r="AC109" s="1065"/>
      <c r="AD109" s="1065"/>
      <c r="AE109" s="1066"/>
      <c r="AF109" s="1055" t="s">
        <v>112</v>
      </c>
      <c r="AG109" s="1056"/>
      <c r="AH109" s="1056"/>
      <c r="AI109" s="1056"/>
      <c r="AJ109" s="1057"/>
      <c r="AK109" s="1058"/>
      <c r="AL109" s="1059"/>
      <c r="AM109" s="23"/>
    </row>
    <row r="110" spans="1:40" customFormat="1" ht="18" customHeight="1">
      <c r="A110" s="982" t="s">
        <v>292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3"/>
      <c r="AA110" s="983"/>
      <c r="AB110" s="983"/>
      <c r="AC110" s="983"/>
      <c r="AD110" s="983"/>
      <c r="AE110" s="983"/>
      <c r="AF110" s="983"/>
      <c r="AG110" s="983"/>
      <c r="AH110" s="983"/>
      <c r="AI110" s="983"/>
      <c r="AJ110" s="983"/>
      <c r="AK110" s="983"/>
      <c r="AL110" s="984"/>
    </row>
    <row r="111" spans="1:40" s="29" customFormat="1" ht="60" customHeight="1">
      <c r="A111" s="960" t="s">
        <v>293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1"/>
      <c r="AA111" s="961"/>
      <c r="AB111" s="961"/>
      <c r="AC111" s="961"/>
      <c r="AD111" s="961"/>
      <c r="AE111" s="961"/>
      <c r="AF111" s="961"/>
      <c r="AG111" s="961"/>
      <c r="AH111" s="961"/>
      <c r="AI111" s="961"/>
      <c r="AJ111" s="961"/>
      <c r="AK111" s="923"/>
      <c r="AL111" s="924"/>
      <c r="AM111" s="23"/>
    </row>
    <row r="112" spans="1:40" customFormat="1" ht="18" customHeight="1">
      <c r="A112" s="982" t="s">
        <v>294</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K112" s="983"/>
      <c r="AL112" s="984"/>
    </row>
    <row r="113" spans="1:39" s="29" customFormat="1" ht="60" customHeight="1">
      <c r="A113" s="960" t="s">
        <v>295</v>
      </c>
      <c r="B113" s="961"/>
      <c r="C113" s="961"/>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1"/>
      <c r="AA113" s="961"/>
      <c r="AB113" s="961"/>
      <c r="AC113" s="961"/>
      <c r="AD113" s="961"/>
      <c r="AE113" s="961"/>
      <c r="AF113" s="961"/>
      <c r="AG113" s="961"/>
      <c r="AH113" s="961"/>
      <c r="AI113" s="961"/>
      <c r="AJ113" s="961"/>
      <c r="AK113" s="923"/>
      <c r="AL113" s="924"/>
      <c r="AM113" s="23"/>
    </row>
    <row r="114" spans="1:39" customFormat="1" ht="18" customHeight="1">
      <c r="A114" s="982" t="s">
        <v>296</v>
      </c>
      <c r="B114" s="983"/>
      <c r="C114" s="983"/>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3"/>
      <c r="AA114" s="983"/>
      <c r="AB114" s="983"/>
      <c r="AC114" s="983"/>
      <c r="AD114" s="983"/>
      <c r="AE114" s="983"/>
      <c r="AF114" s="983"/>
      <c r="AG114" s="983"/>
      <c r="AH114" s="983"/>
      <c r="AI114" s="983"/>
      <c r="AJ114" s="983"/>
      <c r="AK114" s="983"/>
      <c r="AL114" s="984"/>
    </row>
    <row r="115" spans="1:39" s="29" customFormat="1" ht="60" customHeight="1">
      <c r="A115" s="960" t="s">
        <v>297</v>
      </c>
      <c r="B115" s="961"/>
      <c r="C115" s="961"/>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1"/>
      <c r="AA115" s="961"/>
      <c r="AB115" s="961"/>
      <c r="AC115" s="961"/>
      <c r="AD115" s="961"/>
      <c r="AE115" s="961"/>
      <c r="AF115" s="961"/>
      <c r="AG115" s="961"/>
      <c r="AH115" s="961"/>
      <c r="AI115" s="961"/>
      <c r="AJ115" s="961"/>
      <c r="AK115" s="923"/>
      <c r="AL115" s="924"/>
      <c r="AM115" s="23"/>
    </row>
    <row r="116" spans="1:39" customFormat="1" ht="18" customHeight="1">
      <c r="A116" s="982" t="s">
        <v>298</v>
      </c>
      <c r="B116" s="983"/>
      <c r="C116" s="983"/>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3"/>
      <c r="AA116" s="983"/>
      <c r="AB116" s="983"/>
      <c r="AC116" s="983"/>
      <c r="AD116" s="983"/>
      <c r="AE116" s="983"/>
      <c r="AF116" s="983"/>
      <c r="AG116" s="983"/>
      <c r="AH116" s="983"/>
      <c r="AI116" s="983"/>
      <c r="AJ116" s="983"/>
      <c r="AK116" s="983"/>
      <c r="AL116" s="984"/>
    </row>
    <row r="117" spans="1:39" s="29" customFormat="1" ht="30" customHeight="1">
      <c r="A117" s="960" t="s">
        <v>299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61"/>
      <c r="Z117" s="961"/>
      <c r="AA117" s="961"/>
      <c r="AB117" s="961"/>
      <c r="AC117" s="961"/>
      <c r="AD117" s="961"/>
      <c r="AE117" s="961"/>
      <c r="AF117" s="961"/>
      <c r="AG117" s="961"/>
      <c r="AH117" s="961"/>
      <c r="AI117" s="961"/>
      <c r="AJ117" s="961"/>
      <c r="AK117" s="923"/>
      <c r="AL117" s="924"/>
      <c r="AM117" s="23"/>
    </row>
    <row r="118" spans="1:39" customFormat="1" ht="18" customHeight="1">
      <c r="A118" s="982" t="s">
        <v>300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3"/>
      <c r="AA118" s="983"/>
      <c r="AB118" s="983"/>
      <c r="AC118" s="983"/>
      <c r="AD118" s="983"/>
      <c r="AE118" s="983"/>
      <c r="AF118" s="983"/>
      <c r="AG118" s="983"/>
      <c r="AH118" s="983"/>
      <c r="AI118" s="983"/>
      <c r="AJ118" s="983"/>
      <c r="AK118" s="983"/>
      <c r="AL118" s="984"/>
    </row>
    <row r="119" spans="1:39" s="29" customFormat="1" ht="30" customHeight="1">
      <c r="A119" s="960" t="s">
        <v>301</v>
      </c>
      <c r="B119" s="961"/>
      <c r="C119" s="961"/>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1"/>
      <c r="AA119" s="961"/>
      <c r="AB119" s="961"/>
      <c r="AC119" s="961"/>
      <c r="AD119" s="961"/>
      <c r="AE119" s="961"/>
      <c r="AF119" s="961"/>
      <c r="AG119" s="961"/>
      <c r="AH119" s="961"/>
      <c r="AI119" s="961"/>
      <c r="AJ119" s="961"/>
      <c r="AK119" s="923"/>
      <c r="AL119" s="924"/>
      <c r="AM119" s="23"/>
    </row>
    <row r="120" spans="1:39" s="24" customFormat="1" ht="15" customHeight="1">
      <c r="A120" s="1069" t="s">
        <v>152</v>
      </c>
      <c r="B120" s="1070"/>
      <c r="C120" s="1070"/>
      <c r="D120" s="1071" t="s">
        <v>302</v>
      </c>
      <c r="E120" s="1072"/>
      <c r="F120" s="1072"/>
      <c r="G120" s="1072"/>
      <c r="H120" s="1072"/>
      <c r="I120" s="1072"/>
      <c r="J120" s="1072"/>
      <c r="K120" s="1073"/>
      <c r="L120" s="1077" t="s">
        <v>234</v>
      </c>
      <c r="M120" s="1078"/>
      <c r="N120" s="1078"/>
      <c r="O120" s="1078"/>
      <c r="P120" s="1078"/>
      <c r="Q120" s="1078"/>
      <c r="R120" s="1078"/>
      <c r="S120" s="1078"/>
      <c r="T120" s="1078"/>
      <c r="U120" s="1078"/>
      <c r="V120" s="1078"/>
      <c r="W120" s="1078"/>
      <c r="X120" s="1078"/>
      <c r="Y120" s="1078"/>
      <c r="Z120" s="1078"/>
      <c r="AA120" s="1078"/>
      <c r="AB120" s="1078"/>
      <c r="AC120" s="1078"/>
      <c r="AD120" s="1079"/>
      <c r="AE120" s="1074" t="s">
        <v>112</v>
      </c>
      <c r="AF120" s="1075"/>
      <c r="AG120" s="1075"/>
      <c r="AH120" s="1075"/>
      <c r="AI120" s="1076"/>
      <c r="AJ120" s="1080"/>
      <c r="AK120" s="1080"/>
      <c r="AL120" s="1081"/>
      <c r="AM120" s="23"/>
    </row>
    <row r="121" spans="1:39" customFormat="1" ht="18" customHeight="1">
      <c r="A121" s="982" t="s">
        <v>303</v>
      </c>
      <c r="B121" s="983"/>
      <c r="C121" s="983"/>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3"/>
      <c r="AA121" s="983"/>
      <c r="AB121" s="983"/>
      <c r="AC121" s="983"/>
      <c r="AD121" s="983"/>
      <c r="AE121" s="983"/>
      <c r="AF121" s="983"/>
      <c r="AG121" s="983"/>
      <c r="AH121" s="983"/>
      <c r="AI121" s="983"/>
      <c r="AJ121" s="983"/>
      <c r="AK121" s="983"/>
      <c r="AL121" s="984"/>
    </row>
    <row r="122" spans="1:39" s="29" customFormat="1" ht="30" customHeight="1">
      <c r="A122" s="976" t="s">
        <v>304</v>
      </c>
      <c r="B122" s="977"/>
      <c r="C122" s="977"/>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7"/>
      <c r="AA122" s="977"/>
      <c r="AB122" s="977"/>
      <c r="AC122" s="977"/>
      <c r="AD122" s="977"/>
      <c r="AE122" s="977"/>
      <c r="AF122" s="977"/>
      <c r="AG122" s="977"/>
      <c r="AH122" s="977"/>
      <c r="AI122" s="977"/>
      <c r="AJ122" s="978"/>
      <c r="AK122" s="923"/>
      <c r="AL122" s="924"/>
      <c r="AM122" s="23"/>
    </row>
    <row r="123" spans="1:39" s="24" customFormat="1" ht="15" customHeight="1">
      <c r="A123" s="1069" t="s">
        <v>152</v>
      </c>
      <c r="B123" s="1070"/>
      <c r="C123" s="1070"/>
      <c r="D123" s="1071" t="s">
        <v>305</v>
      </c>
      <c r="E123" s="1072"/>
      <c r="F123" s="1072"/>
      <c r="G123" s="1072"/>
      <c r="H123" s="1072"/>
      <c r="I123" s="1072"/>
      <c r="J123" s="1072"/>
      <c r="K123" s="1073"/>
      <c r="L123" s="1077" t="s">
        <v>306</v>
      </c>
      <c r="M123" s="1078"/>
      <c r="N123" s="1078"/>
      <c r="O123" s="1078"/>
      <c r="P123" s="1078"/>
      <c r="Q123" s="1078"/>
      <c r="R123" s="1078"/>
      <c r="S123" s="1078"/>
      <c r="T123" s="1078"/>
      <c r="U123" s="1078"/>
      <c r="V123" s="1078"/>
      <c r="W123" s="1078"/>
      <c r="X123" s="1078"/>
      <c r="Y123" s="1078"/>
      <c r="Z123" s="1078"/>
      <c r="AA123" s="1078"/>
      <c r="AB123" s="1078"/>
      <c r="AC123" s="1078"/>
      <c r="AD123" s="1078"/>
      <c r="AE123" s="1079"/>
      <c r="AF123" s="1074" t="s">
        <v>112</v>
      </c>
      <c r="AG123" s="1075"/>
      <c r="AH123" s="1075"/>
      <c r="AI123" s="1075"/>
      <c r="AJ123" s="1076"/>
      <c r="AK123" s="923"/>
      <c r="AL123" s="924"/>
      <c r="AM123" s="23"/>
    </row>
    <row r="124" spans="1:39" customFormat="1" ht="18" customHeight="1">
      <c r="A124" s="982" t="s">
        <v>307</v>
      </c>
      <c r="B124" s="983"/>
      <c r="C124" s="983"/>
      <c r="D124" s="983"/>
      <c r="E124" s="983"/>
      <c r="F124" s="983"/>
      <c r="G124" s="983"/>
      <c r="H124" s="983"/>
      <c r="I124" s="983"/>
      <c r="J124" s="983"/>
      <c r="K124" s="983"/>
      <c r="L124" s="983"/>
      <c r="M124" s="983"/>
      <c r="N124" s="983"/>
      <c r="O124" s="983"/>
      <c r="P124" s="983"/>
      <c r="Q124" s="983"/>
      <c r="R124" s="983"/>
      <c r="S124" s="983"/>
      <c r="T124" s="983"/>
      <c r="U124" s="983"/>
      <c r="V124" s="983"/>
      <c r="W124" s="983"/>
      <c r="X124" s="983"/>
      <c r="Y124" s="983"/>
      <c r="Z124" s="983"/>
      <c r="AA124" s="983"/>
      <c r="AB124" s="983"/>
      <c r="AC124" s="983"/>
      <c r="AD124" s="983"/>
      <c r="AE124" s="983"/>
      <c r="AF124" s="983"/>
      <c r="AG124" s="983"/>
      <c r="AH124" s="983"/>
      <c r="AI124" s="983"/>
      <c r="AJ124" s="983"/>
      <c r="AK124" s="983"/>
      <c r="AL124" s="984"/>
    </row>
    <row r="125" spans="1:39" s="29" customFormat="1" ht="60" customHeight="1">
      <c r="A125" s="960" t="s">
        <v>308</v>
      </c>
      <c r="B125" s="961"/>
      <c r="C125" s="961"/>
      <c r="D125" s="961"/>
      <c r="E125" s="961"/>
      <c r="F125" s="961"/>
      <c r="G125" s="961"/>
      <c r="H125" s="961"/>
      <c r="I125" s="961"/>
      <c r="J125" s="961"/>
      <c r="K125" s="961"/>
      <c r="L125" s="961"/>
      <c r="M125" s="961"/>
      <c r="N125" s="961"/>
      <c r="O125" s="961"/>
      <c r="P125" s="961"/>
      <c r="Q125" s="961"/>
      <c r="R125" s="961"/>
      <c r="S125" s="961"/>
      <c r="T125" s="961"/>
      <c r="U125" s="961"/>
      <c r="V125" s="961"/>
      <c r="W125" s="961"/>
      <c r="X125" s="961"/>
      <c r="Y125" s="961"/>
      <c r="Z125" s="961"/>
      <c r="AA125" s="961"/>
      <c r="AB125" s="961"/>
      <c r="AC125" s="961"/>
      <c r="AD125" s="961"/>
      <c r="AE125" s="961"/>
      <c r="AF125" s="961"/>
      <c r="AG125" s="961"/>
      <c r="AH125" s="961"/>
      <c r="AI125" s="961"/>
      <c r="AJ125" s="961"/>
      <c r="AK125" s="923"/>
      <c r="AL125" s="924"/>
      <c r="AM125" s="23"/>
    </row>
    <row r="126" spans="1:39" s="24" customFormat="1" ht="15" customHeight="1">
      <c r="A126" s="1069" t="s">
        <v>152</v>
      </c>
      <c r="B126" s="1070"/>
      <c r="C126" s="1070"/>
      <c r="D126" s="1071" t="s">
        <v>309</v>
      </c>
      <c r="E126" s="1072"/>
      <c r="F126" s="1072"/>
      <c r="G126" s="1072"/>
      <c r="H126" s="1072"/>
      <c r="I126" s="1072"/>
      <c r="J126" s="1072"/>
      <c r="K126" s="1073"/>
      <c r="L126" s="1077" t="s">
        <v>310</v>
      </c>
      <c r="M126" s="1078"/>
      <c r="N126" s="1078"/>
      <c r="O126" s="1078"/>
      <c r="P126" s="1078"/>
      <c r="Q126" s="1078"/>
      <c r="R126" s="1078"/>
      <c r="S126" s="1078"/>
      <c r="T126" s="1078"/>
      <c r="U126" s="1078"/>
      <c r="V126" s="1078"/>
      <c r="W126" s="1078"/>
      <c r="X126" s="1078"/>
      <c r="Y126" s="1078"/>
      <c r="Z126" s="1078"/>
      <c r="AA126" s="1078"/>
      <c r="AB126" s="1078"/>
      <c r="AC126" s="1078"/>
      <c r="AD126" s="1078"/>
      <c r="AE126" s="1079"/>
      <c r="AF126" s="1074" t="s">
        <v>112</v>
      </c>
      <c r="AG126" s="1075"/>
      <c r="AH126" s="1075"/>
      <c r="AI126" s="1075"/>
      <c r="AJ126" s="1075"/>
      <c r="AK126" s="923"/>
      <c r="AL126" s="924"/>
      <c r="AM126" s="23"/>
    </row>
    <row r="127" spans="1:39" customFormat="1" ht="18" customHeight="1">
      <c r="A127" s="982" t="s">
        <v>311</v>
      </c>
      <c r="B127" s="983"/>
      <c r="C127" s="983"/>
      <c r="D127" s="983"/>
      <c r="E127" s="983"/>
      <c r="F127" s="983"/>
      <c r="G127" s="983"/>
      <c r="H127" s="983"/>
      <c r="I127" s="983"/>
      <c r="J127" s="983"/>
      <c r="K127" s="983"/>
      <c r="L127" s="983"/>
      <c r="M127" s="983"/>
      <c r="N127" s="983"/>
      <c r="O127" s="983"/>
      <c r="P127" s="983"/>
      <c r="Q127" s="983"/>
      <c r="R127" s="983"/>
      <c r="S127" s="983"/>
      <c r="T127" s="983"/>
      <c r="U127" s="983"/>
      <c r="V127" s="983"/>
      <c r="W127" s="983"/>
      <c r="X127" s="983"/>
      <c r="Y127" s="983"/>
      <c r="Z127" s="983"/>
      <c r="AA127" s="983"/>
      <c r="AB127" s="983"/>
      <c r="AC127" s="983"/>
      <c r="AD127" s="983"/>
      <c r="AE127" s="983"/>
      <c r="AF127" s="983"/>
      <c r="AG127" s="983"/>
      <c r="AH127" s="983"/>
      <c r="AI127" s="983"/>
      <c r="AJ127" s="983"/>
      <c r="AK127" s="983"/>
      <c r="AL127" s="984"/>
    </row>
    <row r="128" spans="1:39" s="29" customFormat="1" ht="75" customHeight="1" thickBot="1">
      <c r="A128" s="1067" t="s">
        <v>312</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8"/>
      <c r="X128" s="1068"/>
      <c r="Y128" s="1068"/>
      <c r="Z128" s="1068"/>
      <c r="AA128" s="1068"/>
      <c r="AB128" s="1068"/>
      <c r="AC128" s="1068"/>
      <c r="AD128" s="1068"/>
      <c r="AE128" s="1068"/>
      <c r="AF128" s="1068"/>
      <c r="AG128" s="1068"/>
      <c r="AH128" s="1068"/>
      <c r="AI128" s="1068"/>
      <c r="AJ128" s="1068"/>
      <c r="AK128" s="1058"/>
      <c r="AL128" s="1059"/>
      <c r="AM128" s="23"/>
    </row>
  </sheetData>
  <sheetProtection algorithmName="SHA-512" hashValue="JKGg9WRosNhW9UFJreFUP3FrFfwtYFGJflqtEz9mFue0APNm9CGjYVEoCYfMQLaegUOMDrs08yo6+2IQiahajw==" saltValue="lLgPMK2TXMS0So/SB3LkZw==" spinCount="100000" sheet="1" formatCells="0" formatRows="0"/>
  <mergeCells count="502">
    <mergeCell ref="A13:C13"/>
    <mergeCell ref="D13:K13"/>
    <mergeCell ref="L13:AE13"/>
    <mergeCell ref="AF13:AJ13"/>
    <mergeCell ref="AK13:AL13"/>
    <mergeCell ref="A49:C49"/>
    <mergeCell ref="D49:K49"/>
    <mergeCell ref="L49:AE49"/>
    <mergeCell ref="AF49:AJ49"/>
    <mergeCell ref="AK49:AL49"/>
    <mergeCell ref="A47:C47"/>
    <mergeCell ref="D47:K47"/>
    <mergeCell ref="L47:AE47"/>
    <mergeCell ref="AF47:AJ47"/>
    <mergeCell ref="AK47:AL47"/>
    <mergeCell ref="A48:C48"/>
    <mergeCell ref="D48:K48"/>
    <mergeCell ref="L48:AE48"/>
    <mergeCell ref="AF48:AJ48"/>
    <mergeCell ref="AK48:AL48"/>
    <mergeCell ref="AA40:AF40"/>
    <mergeCell ref="AG40:AI40"/>
    <mergeCell ref="AJ40:AL40"/>
    <mergeCell ref="A40:G40"/>
    <mergeCell ref="A9:C9"/>
    <mergeCell ref="D9:K9"/>
    <mergeCell ref="L9:AE9"/>
    <mergeCell ref="AF9:AJ9"/>
    <mergeCell ref="AK9:AL9"/>
    <mergeCell ref="A10:C10"/>
    <mergeCell ref="D10:K10"/>
    <mergeCell ref="L10:AE10"/>
    <mergeCell ref="AF10:AJ10"/>
    <mergeCell ref="AK10:AL10"/>
    <mergeCell ref="H40:P40"/>
    <mergeCell ref="Q40:Z40"/>
    <mergeCell ref="H38:P38"/>
    <mergeCell ref="Q38:Z38"/>
    <mergeCell ref="AA38:AF38"/>
    <mergeCell ref="AG38:AI38"/>
    <mergeCell ref="AJ38:AL38"/>
    <mergeCell ref="A38:G38"/>
    <mergeCell ref="H39:P39"/>
    <mergeCell ref="Q39:Z39"/>
    <mergeCell ref="AA39:AF39"/>
    <mergeCell ref="AG39:AI39"/>
    <mergeCell ref="AJ39:AL39"/>
    <mergeCell ref="A39:G39"/>
    <mergeCell ref="AK80:AL80"/>
    <mergeCell ref="AK81:AL81"/>
    <mergeCell ref="AK82:AL82"/>
    <mergeCell ref="AK83:AL83"/>
    <mergeCell ref="A97:O97"/>
    <mergeCell ref="A98:O98"/>
    <mergeCell ref="A99:O99"/>
    <mergeCell ref="AD97:AI97"/>
    <mergeCell ref="AD98:AI98"/>
    <mergeCell ref="AD99:AI99"/>
    <mergeCell ref="A93:AL93"/>
    <mergeCell ref="A94:AJ94"/>
    <mergeCell ref="AK94:AL94"/>
    <mergeCell ref="D91:K91"/>
    <mergeCell ref="A96:AB96"/>
    <mergeCell ref="AC96:AD96"/>
    <mergeCell ref="AE96:AG96"/>
    <mergeCell ref="AH96:AJ96"/>
    <mergeCell ref="AK91:AL91"/>
    <mergeCell ref="A86:AL86"/>
    <mergeCell ref="A88:AJ88"/>
    <mergeCell ref="AK88:AL88"/>
    <mergeCell ref="AK90:AL90"/>
    <mergeCell ref="A90:AJ90"/>
    <mergeCell ref="AA36:AF36"/>
    <mergeCell ref="AG36:AI36"/>
    <mergeCell ref="AJ36:AL36"/>
    <mergeCell ref="A36:G36"/>
    <mergeCell ref="H37:P37"/>
    <mergeCell ref="Q37:Z37"/>
    <mergeCell ref="AA37:AF37"/>
    <mergeCell ref="AG37:AI37"/>
    <mergeCell ref="AJ37:AL37"/>
    <mergeCell ref="A37:G37"/>
    <mergeCell ref="H36:P36"/>
    <mergeCell ref="Q36:Z36"/>
    <mergeCell ref="AA34:AF34"/>
    <mergeCell ref="AG34:AI34"/>
    <mergeCell ref="AJ34:AL34"/>
    <mergeCell ref="A34:G34"/>
    <mergeCell ref="H35:P35"/>
    <mergeCell ref="Q35:Z35"/>
    <mergeCell ref="AA35:AF35"/>
    <mergeCell ref="AG35:AI35"/>
    <mergeCell ref="AJ35:AL35"/>
    <mergeCell ref="A35:G35"/>
    <mergeCell ref="H34:P34"/>
    <mergeCell ref="Q34:Z34"/>
    <mergeCell ref="A31:G31"/>
    <mergeCell ref="H30:P30"/>
    <mergeCell ref="Q30:Z30"/>
    <mergeCell ref="AA30:AF30"/>
    <mergeCell ref="AG32:AI32"/>
    <mergeCell ref="AJ32:AL32"/>
    <mergeCell ref="A32:G32"/>
    <mergeCell ref="H33:P33"/>
    <mergeCell ref="Q33:Z33"/>
    <mergeCell ref="AA33:AF33"/>
    <mergeCell ref="AG33:AI33"/>
    <mergeCell ref="AJ33:AL33"/>
    <mergeCell ref="A33:G33"/>
    <mergeCell ref="H32:P32"/>
    <mergeCell ref="Q32:Z32"/>
    <mergeCell ref="AA32:AF32"/>
    <mergeCell ref="AG28:AI28"/>
    <mergeCell ref="AJ28:AL28"/>
    <mergeCell ref="A28:G28"/>
    <mergeCell ref="H29:P29"/>
    <mergeCell ref="A83:T83"/>
    <mergeCell ref="A84:AJ84"/>
    <mergeCell ref="AK84:AL84"/>
    <mergeCell ref="A85:C85"/>
    <mergeCell ref="Q29:Z29"/>
    <mergeCell ref="AA29:AF29"/>
    <mergeCell ref="AG29:AI29"/>
    <mergeCell ref="AJ29:AL29"/>
    <mergeCell ref="A29:G29"/>
    <mergeCell ref="H28:P28"/>
    <mergeCell ref="Q28:Z28"/>
    <mergeCell ref="AA28:AF28"/>
    <mergeCell ref="AG30:AI30"/>
    <mergeCell ref="AJ30:AL30"/>
    <mergeCell ref="A30:G30"/>
    <mergeCell ref="H31:P31"/>
    <mergeCell ref="Q31:Z31"/>
    <mergeCell ref="AA31:AF31"/>
    <mergeCell ref="AG31:AI31"/>
    <mergeCell ref="AJ31:AL31"/>
    <mergeCell ref="AG26:AI26"/>
    <mergeCell ref="AJ26:AL26"/>
    <mergeCell ref="A26:G26"/>
    <mergeCell ref="H27:P27"/>
    <mergeCell ref="Q27:Z27"/>
    <mergeCell ref="AA27:AF27"/>
    <mergeCell ref="AG27:AI27"/>
    <mergeCell ref="AJ27:AL27"/>
    <mergeCell ref="A27:G27"/>
    <mergeCell ref="H26:P26"/>
    <mergeCell ref="Q26:Z26"/>
    <mergeCell ref="AA26:AF26"/>
    <mergeCell ref="Y100:AC100"/>
    <mergeCell ref="P98:T98"/>
    <mergeCell ref="P99:T99"/>
    <mergeCell ref="P100:T100"/>
    <mergeCell ref="L91:AE91"/>
    <mergeCell ref="A92:C92"/>
    <mergeCell ref="D92:K92"/>
    <mergeCell ref="A91:C91"/>
    <mergeCell ref="A100:O100"/>
    <mergeCell ref="AD100:AI100"/>
    <mergeCell ref="AF91:AJ91"/>
    <mergeCell ref="Y97:AC97"/>
    <mergeCell ref="Y98:AC98"/>
    <mergeCell ref="Y99:AC99"/>
    <mergeCell ref="A95:AJ95"/>
    <mergeCell ref="AK95:AL95"/>
    <mergeCell ref="U83:Z83"/>
    <mergeCell ref="AD83:AJ83"/>
    <mergeCell ref="AA83:AC83"/>
    <mergeCell ref="AK87:AL87"/>
    <mergeCell ref="A87:AJ87"/>
    <mergeCell ref="A89:C89"/>
    <mergeCell ref="D89:K89"/>
    <mergeCell ref="L89:AE89"/>
    <mergeCell ref="AF89:AJ89"/>
    <mergeCell ref="AK89:AL89"/>
    <mergeCell ref="D85:K85"/>
    <mergeCell ref="L85:AE85"/>
    <mergeCell ref="AF85:AJ85"/>
    <mergeCell ref="AK85:AL85"/>
    <mergeCell ref="A105:AL105"/>
    <mergeCell ref="A106:AJ106"/>
    <mergeCell ref="AK106:AL106"/>
    <mergeCell ref="A107:C107"/>
    <mergeCell ref="D107:K107"/>
    <mergeCell ref="L107:AE107"/>
    <mergeCell ref="AF107:AJ107"/>
    <mergeCell ref="AK107:AL107"/>
    <mergeCell ref="AJ101:AL101"/>
    <mergeCell ref="Y103:AC103"/>
    <mergeCell ref="Y104:AC104"/>
    <mergeCell ref="U103:X103"/>
    <mergeCell ref="A103:O103"/>
    <mergeCell ref="AJ103:AL103"/>
    <mergeCell ref="U104:X104"/>
    <mergeCell ref="AJ104:AL104"/>
    <mergeCell ref="P102:T102"/>
    <mergeCell ref="P103:T103"/>
    <mergeCell ref="P104:T104"/>
    <mergeCell ref="AF109:AJ109"/>
    <mergeCell ref="AK109:AL109"/>
    <mergeCell ref="Y101:AC101"/>
    <mergeCell ref="Y102:AC102"/>
    <mergeCell ref="A124:AL124"/>
    <mergeCell ref="U99:X99"/>
    <mergeCell ref="AD103:AI103"/>
    <mergeCell ref="AD104:AI104"/>
    <mergeCell ref="P97:T97"/>
    <mergeCell ref="AF123:AJ123"/>
    <mergeCell ref="AK123:AL123"/>
    <mergeCell ref="A116:AL116"/>
    <mergeCell ref="A117:AJ117"/>
    <mergeCell ref="AK117:AL117"/>
    <mergeCell ref="A110:AL110"/>
    <mergeCell ref="A111:AJ111"/>
    <mergeCell ref="AK111:AL111"/>
    <mergeCell ref="A112:AL112"/>
    <mergeCell ref="A113:AJ113"/>
    <mergeCell ref="AK113:AL113"/>
    <mergeCell ref="A114:AL114"/>
    <mergeCell ref="A115:AJ115"/>
    <mergeCell ref="AK115:AL115"/>
    <mergeCell ref="P101:T101"/>
    <mergeCell ref="A125:AJ125"/>
    <mergeCell ref="AK125:AL125"/>
    <mergeCell ref="A127:AL127"/>
    <mergeCell ref="A128:AJ128"/>
    <mergeCell ref="AK128:AL128"/>
    <mergeCell ref="A118:AL118"/>
    <mergeCell ref="A119:AJ119"/>
    <mergeCell ref="AK119:AL119"/>
    <mergeCell ref="A121:AL121"/>
    <mergeCell ref="A122:AJ122"/>
    <mergeCell ref="AK122:AL122"/>
    <mergeCell ref="A120:C120"/>
    <mergeCell ref="D120:K120"/>
    <mergeCell ref="AE120:AI120"/>
    <mergeCell ref="A123:C123"/>
    <mergeCell ref="D123:K123"/>
    <mergeCell ref="L123:AE123"/>
    <mergeCell ref="AJ120:AL120"/>
    <mergeCell ref="L120:AD120"/>
    <mergeCell ref="A126:C126"/>
    <mergeCell ref="D126:K126"/>
    <mergeCell ref="L126:AE126"/>
    <mergeCell ref="AF126:AJ126"/>
    <mergeCell ref="AK126:AL126"/>
    <mergeCell ref="A108:AJ108"/>
    <mergeCell ref="AK108:AL108"/>
    <mergeCell ref="A109:C109"/>
    <mergeCell ref="L92:AE92"/>
    <mergeCell ref="AF92:AJ92"/>
    <mergeCell ref="AK92:AL92"/>
    <mergeCell ref="U102:X102"/>
    <mergeCell ref="AJ102:AL102"/>
    <mergeCell ref="U101:X101"/>
    <mergeCell ref="U97:X97"/>
    <mergeCell ref="AJ99:AL99"/>
    <mergeCell ref="U100:X100"/>
    <mergeCell ref="AJ100:AL100"/>
    <mergeCell ref="A101:O101"/>
    <mergeCell ref="AD101:AI101"/>
    <mergeCell ref="AJ98:AL98"/>
    <mergeCell ref="A102:O102"/>
    <mergeCell ref="AD102:AI102"/>
    <mergeCell ref="D109:K109"/>
    <mergeCell ref="L109:AE109"/>
    <mergeCell ref="AK96:AL96"/>
    <mergeCell ref="AJ97:AL97"/>
    <mergeCell ref="U98:X98"/>
    <mergeCell ref="A104:O104"/>
    <mergeCell ref="U80:Z80"/>
    <mergeCell ref="AD80:AJ80"/>
    <mergeCell ref="U81:Z81"/>
    <mergeCell ref="AD81:AJ81"/>
    <mergeCell ref="AA80:AC80"/>
    <mergeCell ref="AA81:AC81"/>
    <mergeCell ref="A80:T80"/>
    <mergeCell ref="A81:T81"/>
    <mergeCell ref="U82:Z82"/>
    <mergeCell ref="AD82:AJ82"/>
    <mergeCell ref="AA82:AC82"/>
    <mergeCell ref="A82:T82"/>
    <mergeCell ref="U70:Z70"/>
    <mergeCell ref="AD74:AJ74"/>
    <mergeCell ref="AK79:AL79"/>
    <mergeCell ref="U76:Z76"/>
    <mergeCell ref="AA76:AC76"/>
    <mergeCell ref="AD76:AJ76"/>
    <mergeCell ref="AK76:AL76"/>
    <mergeCell ref="U73:Z73"/>
    <mergeCell ref="AD73:AJ73"/>
    <mergeCell ref="U74:Z74"/>
    <mergeCell ref="U79:Z79"/>
    <mergeCell ref="AD72:AJ72"/>
    <mergeCell ref="AC70:AJ70"/>
    <mergeCell ref="AA72:AC72"/>
    <mergeCell ref="AA73:AC73"/>
    <mergeCell ref="AA74:AC74"/>
    <mergeCell ref="AK72:AL72"/>
    <mergeCell ref="AK73:AL73"/>
    <mergeCell ref="AK74:AL74"/>
    <mergeCell ref="AK71:AL71"/>
    <mergeCell ref="A72:T72"/>
    <mergeCell ref="Z71:AJ71"/>
    <mergeCell ref="Q71:Y71"/>
    <mergeCell ref="N70:R70"/>
    <mergeCell ref="A70:M70"/>
    <mergeCell ref="S70:T70"/>
    <mergeCell ref="A68:P68"/>
    <mergeCell ref="Q68:U68"/>
    <mergeCell ref="V68:Y68"/>
    <mergeCell ref="Z68:AB68"/>
    <mergeCell ref="AC68:AI68"/>
    <mergeCell ref="AJ68:AL68"/>
    <mergeCell ref="A69:P69"/>
    <mergeCell ref="Q69:U69"/>
    <mergeCell ref="V69:Y69"/>
    <mergeCell ref="Z69:AB69"/>
    <mergeCell ref="AC69:AI69"/>
    <mergeCell ref="AJ69:AL69"/>
    <mergeCell ref="AA70:AB70"/>
    <mergeCell ref="I71:P71"/>
    <mergeCell ref="G71:H71"/>
    <mergeCell ref="A71:F71"/>
    <mergeCell ref="AK70:AL70"/>
    <mergeCell ref="U72:Z72"/>
    <mergeCell ref="A63:AJ63"/>
    <mergeCell ref="AK63:AL63"/>
    <mergeCell ref="V64:Y64"/>
    <mergeCell ref="AC64:AI64"/>
    <mergeCell ref="A59:AL59"/>
    <mergeCell ref="A60:AJ60"/>
    <mergeCell ref="AK60:AL60"/>
    <mergeCell ref="A61:AJ61"/>
    <mergeCell ref="AK61:AL61"/>
    <mergeCell ref="A62:Y62"/>
    <mergeCell ref="Z62:AJ62"/>
    <mergeCell ref="AK62:AL62"/>
    <mergeCell ref="AJ64:AL64"/>
    <mergeCell ref="A57:AJ57"/>
    <mergeCell ref="AK57:AL57"/>
    <mergeCell ref="A58:C58"/>
    <mergeCell ref="D58:K58"/>
    <mergeCell ref="L58:AE58"/>
    <mergeCell ref="AF58:AJ58"/>
    <mergeCell ref="AK58:AL58"/>
    <mergeCell ref="A54:AJ54"/>
    <mergeCell ref="AK54:AL54"/>
    <mergeCell ref="A55:AJ55"/>
    <mergeCell ref="AK55:AL55"/>
    <mergeCell ref="A56:AJ56"/>
    <mergeCell ref="AK56:AL56"/>
    <mergeCell ref="H25:P25"/>
    <mergeCell ref="Q25:Z25"/>
    <mergeCell ref="AA25:AF25"/>
    <mergeCell ref="AG25:AI25"/>
    <mergeCell ref="AJ25:AL25"/>
    <mergeCell ref="A25:G25"/>
    <mergeCell ref="H24:P24"/>
    <mergeCell ref="Q24:Z24"/>
    <mergeCell ref="AA24:AF24"/>
    <mergeCell ref="AG24:AI24"/>
    <mergeCell ref="AJ24:AL24"/>
    <mergeCell ref="A24:G24"/>
    <mergeCell ref="H23:P23"/>
    <mergeCell ref="Q23:Z23"/>
    <mergeCell ref="AA23:AF23"/>
    <mergeCell ref="AG23:AI23"/>
    <mergeCell ref="AJ23:AL23"/>
    <mergeCell ref="A23:G23"/>
    <mergeCell ref="H22:P22"/>
    <mergeCell ref="Q22:Z22"/>
    <mergeCell ref="AA22:AF22"/>
    <mergeCell ref="AG22:AI22"/>
    <mergeCell ref="AJ22:AL22"/>
    <mergeCell ref="A22:G22"/>
    <mergeCell ref="H21:P21"/>
    <mergeCell ref="Q21:Z21"/>
    <mergeCell ref="AA21:AF21"/>
    <mergeCell ref="AG21:AI21"/>
    <mergeCell ref="AJ21:AL21"/>
    <mergeCell ref="A21:G21"/>
    <mergeCell ref="H20:P20"/>
    <mergeCell ref="Q20:Z20"/>
    <mergeCell ref="AA20:AF20"/>
    <mergeCell ref="AG20:AI20"/>
    <mergeCell ref="AJ20:AL20"/>
    <mergeCell ref="A20:G20"/>
    <mergeCell ref="H19:P19"/>
    <mergeCell ref="Q19:Z19"/>
    <mergeCell ref="AA19:AF19"/>
    <mergeCell ref="AG19:AI19"/>
    <mergeCell ref="AJ19:AL19"/>
    <mergeCell ref="A19:G19"/>
    <mergeCell ref="A17:AJ17"/>
    <mergeCell ref="AK17:AL17"/>
    <mergeCell ref="H18:P18"/>
    <mergeCell ref="Q18:Z18"/>
    <mergeCell ref="AA18:AF18"/>
    <mergeCell ref="AG18:AI18"/>
    <mergeCell ref="AJ18:AL18"/>
    <mergeCell ref="A18:G18"/>
    <mergeCell ref="A15:AJ15"/>
    <mergeCell ref="AK15:AL15"/>
    <mergeCell ref="A16:C16"/>
    <mergeCell ref="D16:K16"/>
    <mergeCell ref="L16:AE16"/>
    <mergeCell ref="AF16:AJ16"/>
    <mergeCell ref="AK16:AL16"/>
    <mergeCell ref="A14:I14"/>
    <mergeCell ref="J14:M14"/>
    <mergeCell ref="N14:V14"/>
    <mergeCell ref="W14:Z14"/>
    <mergeCell ref="AA14:AH14"/>
    <mergeCell ref="AI14:AL14"/>
    <mergeCell ref="A1:AI1"/>
    <mergeCell ref="AJ1:AL1"/>
    <mergeCell ref="A6:AJ6"/>
    <mergeCell ref="AK6:AL6"/>
    <mergeCell ref="A7:AJ7"/>
    <mergeCell ref="AK7:AL7"/>
    <mergeCell ref="A8:AL8"/>
    <mergeCell ref="A2:AL2"/>
    <mergeCell ref="A3:AL3"/>
    <mergeCell ref="A4:AJ4"/>
    <mergeCell ref="AK4:AL4"/>
    <mergeCell ref="A5:AJ5"/>
    <mergeCell ref="AK5:AL5"/>
    <mergeCell ref="D45:K45"/>
    <mergeCell ref="L45:AE45"/>
    <mergeCell ref="AF45:AJ45"/>
    <mergeCell ref="AK45:AL45"/>
    <mergeCell ref="A51:R51"/>
    <mergeCell ref="S51:AL51"/>
    <mergeCell ref="A52:AJ52"/>
    <mergeCell ref="AK52:AL52"/>
    <mergeCell ref="A53:C53"/>
    <mergeCell ref="D53:K53"/>
    <mergeCell ref="L53:AE53"/>
    <mergeCell ref="AF53:AJ53"/>
    <mergeCell ref="AK53:AL53"/>
    <mergeCell ref="A67:P67"/>
    <mergeCell ref="Q67:U67"/>
    <mergeCell ref="V67:Y67"/>
    <mergeCell ref="Z67:AB67"/>
    <mergeCell ref="AC67:AI67"/>
    <mergeCell ref="A66:AJ66"/>
    <mergeCell ref="AK66:AL66"/>
    <mergeCell ref="V65:Y65"/>
    <mergeCell ref="AC65:AI65"/>
    <mergeCell ref="AJ67:AL67"/>
    <mergeCell ref="A41:AJ41"/>
    <mergeCell ref="AK41:AL41"/>
    <mergeCell ref="A42:C42"/>
    <mergeCell ref="D42:K42"/>
    <mergeCell ref="L42:AE42"/>
    <mergeCell ref="AF42:AJ42"/>
    <mergeCell ref="AK42:AL42"/>
    <mergeCell ref="AJ65:AL65"/>
    <mergeCell ref="A64:P64"/>
    <mergeCell ref="A65:P65"/>
    <mergeCell ref="Z64:AB64"/>
    <mergeCell ref="Z65:AB65"/>
    <mergeCell ref="Q64:U64"/>
    <mergeCell ref="Q65:U65"/>
    <mergeCell ref="A46:C46"/>
    <mergeCell ref="D46:K46"/>
    <mergeCell ref="L46:AE46"/>
    <mergeCell ref="AF46:AJ46"/>
    <mergeCell ref="AK46:AL46"/>
    <mergeCell ref="A50:AJ50"/>
    <mergeCell ref="AK50:AL50"/>
    <mergeCell ref="A43:AL43"/>
    <mergeCell ref="A44:AL44"/>
    <mergeCell ref="A45:C45"/>
    <mergeCell ref="A79:T79"/>
    <mergeCell ref="AD75:AJ75"/>
    <mergeCell ref="U77:Z77"/>
    <mergeCell ref="AA77:AC77"/>
    <mergeCell ref="AD77:AJ77"/>
    <mergeCell ref="A78:T78"/>
    <mergeCell ref="U78:AL78"/>
    <mergeCell ref="A73:T73"/>
    <mergeCell ref="A74:T74"/>
    <mergeCell ref="A75:T75"/>
    <mergeCell ref="A76:T76"/>
    <mergeCell ref="A77:T77"/>
    <mergeCell ref="AK77:AL77"/>
    <mergeCell ref="U75:Z75"/>
    <mergeCell ref="AA75:AC75"/>
    <mergeCell ref="AK75:AL75"/>
    <mergeCell ref="AD79:AJ79"/>
    <mergeCell ref="AA79:AC79"/>
    <mergeCell ref="A11:C11"/>
    <mergeCell ref="D11:K11"/>
    <mergeCell ref="L11:AE11"/>
    <mergeCell ref="AF11:AJ11"/>
    <mergeCell ref="AK11:AL11"/>
    <mergeCell ref="A12:C12"/>
    <mergeCell ref="D12:K12"/>
    <mergeCell ref="L12:AE12"/>
    <mergeCell ref="AF12:AJ12"/>
    <mergeCell ref="AK12:AL12"/>
  </mergeCells>
  <conditionalFormatting sqref="AK109 A26:A29 F26:F29">
    <cfRule type="cellIs" dxfId="134" priority="106" operator="equal">
      <formula>"No"</formula>
    </cfRule>
  </conditionalFormatting>
  <conditionalFormatting sqref="AK108">
    <cfRule type="cellIs" dxfId="133" priority="105" operator="equal">
      <formula>"No"</formula>
    </cfRule>
  </conditionalFormatting>
  <conditionalFormatting sqref="AK108">
    <cfRule type="cellIs" dxfId="132" priority="104" operator="equal">
      <formula>"No"</formula>
    </cfRule>
  </conditionalFormatting>
  <conditionalFormatting sqref="AK96">
    <cfRule type="cellIs" dxfId="131" priority="103" operator="equal">
      <formula>"No"</formula>
    </cfRule>
  </conditionalFormatting>
  <conditionalFormatting sqref="AK50">
    <cfRule type="cellIs" dxfId="130" priority="88" operator="equal">
      <formula>"No"</formula>
    </cfRule>
  </conditionalFormatting>
  <conditionalFormatting sqref="AK17">
    <cfRule type="cellIs" dxfId="129" priority="85" operator="equal">
      <formula>"No"</formula>
    </cfRule>
  </conditionalFormatting>
  <conditionalFormatting sqref="AK16">
    <cfRule type="cellIs" dxfId="128" priority="84" operator="equal">
      <formula>"No"</formula>
    </cfRule>
  </conditionalFormatting>
  <conditionalFormatting sqref="AK15">
    <cfRule type="cellIs" dxfId="127" priority="83" operator="equal">
      <formula>"No"</formula>
    </cfRule>
  </conditionalFormatting>
  <conditionalFormatting sqref="AK7">
    <cfRule type="cellIs" dxfId="126" priority="82" operator="equal">
      <formula>"No"</formula>
    </cfRule>
  </conditionalFormatting>
  <conditionalFormatting sqref="AK6">
    <cfRule type="cellIs" dxfId="125" priority="81" operator="equal">
      <formula>"No"</formula>
    </cfRule>
  </conditionalFormatting>
  <conditionalFormatting sqref="AK5">
    <cfRule type="cellIs" dxfId="124" priority="80" operator="equal">
      <formula>"No"</formula>
    </cfRule>
  </conditionalFormatting>
  <conditionalFormatting sqref="AK4">
    <cfRule type="cellIs" dxfId="123" priority="79" operator="equal">
      <formula>"No"</formula>
    </cfRule>
  </conditionalFormatting>
  <conditionalFormatting sqref="A18:A25 F18:F25 AK43:AK44">
    <cfRule type="cellIs" dxfId="122" priority="131" operator="equal">
      <formula>"No"</formula>
    </cfRule>
  </conditionalFormatting>
  <conditionalFormatting sqref="AA18">
    <cfRule type="cellIs" dxfId="121" priority="129" operator="equal">
      <formula>"No"</formula>
    </cfRule>
  </conditionalFormatting>
  <conditionalFormatting sqref="Q18">
    <cfRule type="cellIs" dxfId="120" priority="130" operator="equal">
      <formula>"No"</formula>
    </cfRule>
  </conditionalFormatting>
  <conditionalFormatting sqref="AK125">
    <cfRule type="cellIs" dxfId="119" priority="128" operator="equal">
      <formula>"No"</formula>
    </cfRule>
  </conditionalFormatting>
  <conditionalFormatting sqref="AK125">
    <cfRule type="cellIs" dxfId="118" priority="127" operator="equal">
      <formula>"No"</formula>
    </cfRule>
  </conditionalFormatting>
  <conditionalFormatting sqref="AK128">
    <cfRule type="cellIs" dxfId="117" priority="125" operator="equal">
      <formula>"No"</formula>
    </cfRule>
  </conditionalFormatting>
  <conditionalFormatting sqref="AK128">
    <cfRule type="cellIs" dxfId="116" priority="126" operator="equal">
      <formula>"No"</formula>
    </cfRule>
  </conditionalFormatting>
  <conditionalFormatting sqref="AG18">
    <cfRule type="cellIs" dxfId="115" priority="124" operator="equal">
      <formula>"No"</formula>
    </cfRule>
  </conditionalFormatting>
  <conditionalFormatting sqref="AK122">
    <cfRule type="cellIs" dxfId="114" priority="123" operator="equal">
      <formula>"No"</formula>
    </cfRule>
  </conditionalFormatting>
  <conditionalFormatting sqref="AK122">
    <cfRule type="cellIs" dxfId="113" priority="122" operator="equal">
      <formula>"No"</formula>
    </cfRule>
  </conditionalFormatting>
  <conditionalFormatting sqref="AK119">
    <cfRule type="cellIs" dxfId="112" priority="121" operator="equal">
      <formula>"No"</formula>
    </cfRule>
  </conditionalFormatting>
  <conditionalFormatting sqref="AK119">
    <cfRule type="cellIs" dxfId="111" priority="120" operator="equal">
      <formula>"No"</formula>
    </cfRule>
  </conditionalFormatting>
  <conditionalFormatting sqref="AK117">
    <cfRule type="cellIs" dxfId="110" priority="119" operator="equal">
      <formula>"No"</formula>
    </cfRule>
  </conditionalFormatting>
  <conditionalFormatting sqref="AK117">
    <cfRule type="cellIs" dxfId="109" priority="118" operator="equal">
      <formula>"No"</formula>
    </cfRule>
  </conditionalFormatting>
  <conditionalFormatting sqref="AK115">
    <cfRule type="cellIs" dxfId="108" priority="117" operator="equal">
      <formula>"No"</formula>
    </cfRule>
  </conditionalFormatting>
  <conditionalFormatting sqref="AK115">
    <cfRule type="cellIs" dxfId="107" priority="116" operator="equal">
      <formula>"No"</formula>
    </cfRule>
  </conditionalFormatting>
  <conditionalFormatting sqref="AK113">
    <cfRule type="cellIs" dxfId="106" priority="115" operator="equal">
      <formula>"No"</formula>
    </cfRule>
  </conditionalFormatting>
  <conditionalFormatting sqref="AK113">
    <cfRule type="cellIs" dxfId="105" priority="114" operator="equal">
      <formula>"No"</formula>
    </cfRule>
  </conditionalFormatting>
  <conditionalFormatting sqref="AK111">
    <cfRule type="cellIs" dxfId="104" priority="113" operator="equal">
      <formula>"No"</formula>
    </cfRule>
  </conditionalFormatting>
  <conditionalFormatting sqref="AK111">
    <cfRule type="cellIs" dxfId="103" priority="112" operator="equal">
      <formula>"No"</formula>
    </cfRule>
  </conditionalFormatting>
  <conditionalFormatting sqref="AK107">
    <cfRule type="cellIs" dxfId="102" priority="111" operator="equal">
      <formula>"No"</formula>
    </cfRule>
  </conditionalFormatting>
  <conditionalFormatting sqref="AK107">
    <cfRule type="cellIs" dxfId="101" priority="110" operator="equal">
      <formula>"No"</formula>
    </cfRule>
  </conditionalFormatting>
  <conditionalFormatting sqref="AK106">
    <cfRule type="cellIs" dxfId="100" priority="109" operator="equal">
      <formula>"No"</formula>
    </cfRule>
  </conditionalFormatting>
  <conditionalFormatting sqref="AK106">
    <cfRule type="cellIs" dxfId="99" priority="108" operator="equal">
      <formula>"No"</formula>
    </cfRule>
  </conditionalFormatting>
  <conditionalFormatting sqref="AK109">
    <cfRule type="cellIs" dxfId="98" priority="107" operator="equal">
      <formula>"No"</formula>
    </cfRule>
  </conditionalFormatting>
  <conditionalFormatting sqref="AK94">
    <cfRule type="cellIs" dxfId="97" priority="101" operator="equal">
      <formula>"No"</formula>
    </cfRule>
  </conditionalFormatting>
  <conditionalFormatting sqref="AK85">
    <cfRule type="cellIs" dxfId="96" priority="99" operator="equal">
      <formula>"No"</formula>
    </cfRule>
  </conditionalFormatting>
  <conditionalFormatting sqref="AK84">
    <cfRule type="cellIs" dxfId="95" priority="98" operator="equal">
      <formula>"No"</formula>
    </cfRule>
  </conditionalFormatting>
  <conditionalFormatting sqref="AK84">
    <cfRule type="cellIs" dxfId="94" priority="97" operator="equal">
      <formula>"No"</formula>
    </cfRule>
  </conditionalFormatting>
  <conditionalFormatting sqref="AK56">
    <cfRule type="cellIs" dxfId="93" priority="93" operator="equal">
      <formula>"No"</formula>
    </cfRule>
  </conditionalFormatting>
  <conditionalFormatting sqref="AK55">
    <cfRule type="cellIs" dxfId="92" priority="92" operator="equal">
      <formula>"No"</formula>
    </cfRule>
  </conditionalFormatting>
  <conditionalFormatting sqref="AK54">
    <cfRule type="cellIs" dxfId="91" priority="91" operator="equal">
      <formula>"No"</formula>
    </cfRule>
  </conditionalFormatting>
  <conditionalFormatting sqref="AK53">
    <cfRule type="cellIs" dxfId="90" priority="90" operator="equal">
      <formula>"No"</formula>
    </cfRule>
  </conditionalFormatting>
  <conditionalFormatting sqref="AK52">
    <cfRule type="cellIs" dxfId="89" priority="89" operator="equal">
      <formula>"No"</formula>
    </cfRule>
  </conditionalFormatting>
  <conditionalFormatting sqref="AK66">
    <cfRule type="cellIs" dxfId="88" priority="48" operator="equal">
      <formula>"No"</formula>
    </cfRule>
  </conditionalFormatting>
  <conditionalFormatting sqref="AK62:AL62">
    <cfRule type="cellIs" dxfId="87" priority="47" operator="equal">
      <formula>"No"</formula>
    </cfRule>
  </conditionalFormatting>
  <conditionalFormatting sqref="AK63:AL63">
    <cfRule type="cellIs" dxfId="86" priority="46" operator="equal">
      <formula>"No"</formula>
    </cfRule>
  </conditionalFormatting>
  <conditionalFormatting sqref="Q19:Z29">
    <cfRule type="cellIs" dxfId="85" priority="44" operator="equal">
      <formula>"None"</formula>
    </cfRule>
  </conditionalFormatting>
  <conditionalFormatting sqref="AK89">
    <cfRule type="cellIs" dxfId="84" priority="43" operator="equal">
      <formula>"No"</formula>
    </cfRule>
  </conditionalFormatting>
  <conditionalFormatting sqref="AK89">
    <cfRule type="cellIs" dxfId="83" priority="42" operator="equal">
      <formula>"No"</formula>
    </cfRule>
  </conditionalFormatting>
  <conditionalFormatting sqref="AK91">
    <cfRule type="cellIs" dxfId="82" priority="39" operator="equal">
      <formula>"No"</formula>
    </cfRule>
  </conditionalFormatting>
  <conditionalFormatting sqref="AK92">
    <cfRule type="cellIs" dxfId="81" priority="38" operator="equal">
      <formula>"No"</formula>
    </cfRule>
  </conditionalFormatting>
  <conditionalFormatting sqref="AK41">
    <cfRule type="cellIs" dxfId="80" priority="36" operator="equal">
      <formula>"No"</formula>
    </cfRule>
  </conditionalFormatting>
  <conditionalFormatting sqref="G71">
    <cfRule type="cellIs" dxfId="79" priority="32" operator="equal">
      <formula>"No"</formula>
    </cfRule>
  </conditionalFormatting>
  <conditionalFormatting sqref="AK71">
    <cfRule type="cellIs" dxfId="78" priority="31" operator="equal">
      <formula>"No"</formula>
    </cfRule>
  </conditionalFormatting>
  <conditionalFormatting sqref="AK42">
    <cfRule type="cellIs" dxfId="77" priority="30" operator="equal">
      <formula>"No"</formula>
    </cfRule>
  </conditionalFormatting>
  <conditionalFormatting sqref="AK45:AK46">
    <cfRule type="cellIs" dxfId="76" priority="29" operator="equal">
      <formula>"No"</formula>
    </cfRule>
  </conditionalFormatting>
  <conditionalFormatting sqref="AK58">
    <cfRule type="cellIs" dxfId="75" priority="28" operator="equal">
      <formula>"No"</formula>
    </cfRule>
  </conditionalFormatting>
  <conditionalFormatting sqref="AK60">
    <cfRule type="cellIs" dxfId="74" priority="27" operator="equal">
      <formula>"No"</formula>
    </cfRule>
  </conditionalFormatting>
  <conditionalFormatting sqref="AK57">
    <cfRule type="cellIs" dxfId="73" priority="26" operator="equal">
      <formula>"No"</formula>
    </cfRule>
  </conditionalFormatting>
  <conditionalFormatting sqref="A30:A36 F30:F36">
    <cfRule type="cellIs" dxfId="72" priority="23" operator="equal">
      <formula>"No"</formula>
    </cfRule>
  </conditionalFormatting>
  <conditionalFormatting sqref="Q30:Z36">
    <cfRule type="cellIs" dxfId="71" priority="22" operator="equal">
      <formula>"None"</formula>
    </cfRule>
  </conditionalFormatting>
  <conditionalFormatting sqref="A37:A40 F37:F40">
    <cfRule type="cellIs" dxfId="70" priority="21" operator="equal">
      <formula>"No"</formula>
    </cfRule>
  </conditionalFormatting>
  <conditionalFormatting sqref="Q37:Z40">
    <cfRule type="cellIs" dxfId="69" priority="20" operator="equal">
      <formula>"None"</formula>
    </cfRule>
  </conditionalFormatting>
  <conditionalFormatting sqref="AK70:AL70">
    <cfRule type="cellIs" dxfId="68" priority="19" operator="equal">
      <formula>"No"</formula>
    </cfRule>
  </conditionalFormatting>
  <conditionalFormatting sqref="AJ120">
    <cfRule type="cellIs" dxfId="67" priority="18" operator="equal">
      <formula>"No"</formula>
    </cfRule>
  </conditionalFormatting>
  <conditionalFormatting sqref="AK123">
    <cfRule type="cellIs" dxfId="66" priority="17" operator="equal">
      <formula>"No"</formula>
    </cfRule>
  </conditionalFormatting>
  <conditionalFormatting sqref="AK86">
    <cfRule type="cellIs" dxfId="65" priority="14" operator="equal">
      <formula>"No"</formula>
    </cfRule>
  </conditionalFormatting>
  <conditionalFormatting sqref="AK9">
    <cfRule type="cellIs" dxfId="64" priority="11" operator="equal">
      <formula>"No"</formula>
    </cfRule>
  </conditionalFormatting>
  <conditionalFormatting sqref="AK10">
    <cfRule type="cellIs" dxfId="63" priority="10" operator="equal">
      <formula>"No"</formula>
    </cfRule>
  </conditionalFormatting>
  <conditionalFormatting sqref="AK48">
    <cfRule type="cellIs" dxfId="62" priority="8" operator="equal">
      <formula>"No"</formula>
    </cfRule>
  </conditionalFormatting>
  <conditionalFormatting sqref="AK11">
    <cfRule type="cellIs" dxfId="61" priority="6" operator="equal">
      <formula>"No"</formula>
    </cfRule>
  </conditionalFormatting>
  <conditionalFormatting sqref="AK12">
    <cfRule type="cellIs" dxfId="60" priority="5" operator="equal">
      <formula>"No"</formula>
    </cfRule>
  </conditionalFormatting>
  <conditionalFormatting sqref="AK13">
    <cfRule type="cellIs" dxfId="59" priority="4" operator="equal">
      <formula>"No"</formula>
    </cfRule>
  </conditionalFormatting>
  <conditionalFormatting sqref="AK47">
    <cfRule type="cellIs" dxfId="58" priority="3" operator="equal">
      <formula>"No"</formula>
    </cfRule>
  </conditionalFormatting>
  <conditionalFormatting sqref="AK49">
    <cfRule type="cellIs" dxfId="57" priority="2" operator="equal">
      <formula>"No"</formula>
    </cfRule>
  </conditionalFormatting>
  <dataValidations count="8">
    <dataValidation type="list" allowBlank="1" showInputMessage="1" showErrorMessage="1" sqref="Y98:AC104" xr:uid="{4294DD21-7239-4633-8D00-D8D4D11C6BE8}">
      <formula1>"Emergency Shelter,Transitional Housing"</formula1>
    </dataValidation>
    <dataValidation type="list" allowBlank="1" showInputMessage="1" showErrorMessage="1" sqref="U98:X104 V65:Y65 V68:Y69" xr:uid="{0B7D5E0D-6E89-4C7E-96FD-47F54050F24E}">
      <formula1>"Developed,Owned,Operated"</formula1>
    </dataValidation>
    <dataValidation type="list" allowBlank="1" showInputMessage="1" showErrorMessage="1" sqref="AK128:AL128 AK122:AL123 AK119:AL119 AK52:AL58 AK117:AL117 AK115:AL115 AK113:AL113 AK111:AL111 AK106:AL109 AK60:AL61 AK94:AL95 AK49:AL50 AK4:AL7 AK15:AL17 AK71:AL71 AK125:AL126 AK63:AL63 G71:H71 AK84:AL85 AK90:AL91 AK87:AL87 AK9:AL9 AK45:AL47" xr:uid="{8AB1F5B3-87DF-4FF5-A6E9-0E159D8E4A52}">
      <formula1>"Yes,No"</formula1>
    </dataValidation>
    <dataValidation type="list" allowBlank="1" showInputMessage="1" showErrorMessage="1" sqref="AK86 AK43:AK44 F18:F40 AK14:AK15 AK8" xr:uid="{79D9842F-720B-4765-8FA9-FCE5C8A3EE04}">
      <formula1>"Yes, No"</formula1>
    </dataValidation>
    <dataValidation type="list" allowBlank="1" showInputMessage="1" showErrorMessage="1" sqref="AK92:AL92 AK41:AL42 AK88:AL89 AK10:AL13 AK48:AL48" xr:uid="{5EA431F1-77CF-4D1A-AF21-1487EE3C7150}">
      <formula1>"Yes,No,N/A"</formula1>
    </dataValidation>
    <dataValidation type="list" allowBlank="1" showInputMessage="1" showErrorMessage="1" sqref="Q68:U69 Q65:U65 S51:AL51 P98:T104" xr:uid="{8D689D7B-6EA0-4962-BB72-68A374804296}">
      <formula1>$AN$50:$AN$52</formula1>
    </dataValidation>
    <dataValidation type="list" allowBlank="1" sqref="N18:N40" xr:uid="{1B2558C6-FA59-4093-98E2-2DB4F4776DBD}">
      <formula1>"Fee Title,Leasehold Interest,Enforceable Option to Lease or Purchase,Disposition and Development Agreement, Exclusive Right to Negotiate, Sales Contract"</formula1>
    </dataValidation>
    <dataValidation type="list" allowBlank="1" showInputMessage="1" showErrorMessage="1" sqref="AJ120" xr:uid="{5073C481-1C20-4289-8C66-F3B6E2B3B3C0}">
      <formula1>"Yes,No,In progress"</formula1>
    </dataValidation>
  </dataValidations>
  <hyperlinks>
    <hyperlink ref="L16:AE16" r:id="rId1" display="Racial Demographic Data Worksheet, which reports CoC outcomes by race and ethnicity. The worksheet on the Homekey webpage" xr:uid="{E4279336-5B26-4A3C-8310-A9D0A0ED0E78}"/>
  </hyperlinks>
  <printOptions horizontalCentered="1"/>
  <pageMargins left="0.25" right="0.25" top="0.5" bottom="0.3" header="0" footer="0"/>
  <pageSetup scale="63" fitToHeight="4" orientation="portrait" horizontalDpi="300" verticalDpi="300" r:id="rId2"/>
  <headerFooter scaleWithDoc="0" alignWithMargins="0">
    <oddFooter>&amp;L&amp;9Homekey Round 2&amp;C&amp;9Page &amp;P of &amp;N&amp;R&amp;"Arial,Italic"&amp;9&amp;A</oddFooter>
  </headerFooter>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5FBC329D-8258-4DEC-84D2-BF1371C66C19}">
          <x14:formula1>
            <xm:f>'Drop Down'!$J$2:$J$5</xm:f>
          </x14:formula1>
          <xm:sqref>AC65:AI65 AC68:AI69 AD79:AJ83 AD73:AJ77 AD98:AI104</xm:sqref>
        </x14:dataValidation>
        <x14:dataValidation type="list" allowBlank="1" showInputMessage="1" showErrorMessage="1" xr:uid="{A2E60B44-4698-4C56-8249-0C10E4EDAEEF}">
          <x14:formula1>
            <xm:f>'Application Scoring Criteria'!$AN$5:$AN$12</xm:f>
          </x14:formula1>
          <xm:sqref>Q19:Z40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C7E35-EDF6-484B-B5BE-C9741F62BD10}">
  <sheetPr codeName="Sheet19">
    <tabColor theme="4" tint="-0.249977111117893"/>
    <pageSetUpPr fitToPage="1"/>
  </sheetPr>
  <dimension ref="A1:AL43"/>
  <sheetViews>
    <sheetView showGridLines="0" zoomScaleNormal="100" workbookViewId="0">
      <selection activeCell="A6" sqref="A6:AL6"/>
    </sheetView>
  </sheetViews>
  <sheetFormatPr defaultColWidth="9.1796875" defaultRowHeight="12.5"/>
  <cols>
    <col min="1" max="38" width="4.1796875" style="75" customWidth="1"/>
    <col min="39" max="16384" width="9.1796875" style="75"/>
  </cols>
  <sheetData>
    <row r="1" spans="1:38" ht="18" customHeight="1" thickBot="1">
      <c r="A1" s="1108" t="s">
        <v>313</v>
      </c>
      <c r="B1" s="1109"/>
      <c r="C1" s="1109"/>
      <c r="D1" s="1109"/>
      <c r="E1" s="1109"/>
      <c r="F1" s="1109"/>
      <c r="G1" s="1109"/>
      <c r="H1" s="1109"/>
      <c r="I1" s="1109"/>
      <c r="J1" s="1109"/>
      <c r="K1" s="1109"/>
      <c r="L1" s="1109"/>
      <c r="M1" s="1109"/>
      <c r="N1" s="1109"/>
      <c r="O1" s="1109"/>
      <c r="P1" s="1109"/>
      <c r="Q1" s="1109"/>
      <c r="R1" s="1109"/>
      <c r="S1" s="1109"/>
      <c r="T1" s="1109"/>
      <c r="U1" s="1109"/>
      <c r="V1" s="1109"/>
      <c r="W1" s="1109"/>
      <c r="X1" s="1109"/>
      <c r="Y1" s="1109"/>
      <c r="Z1" s="1109"/>
      <c r="AA1" s="1109"/>
      <c r="AB1" s="1109"/>
      <c r="AC1" s="1109"/>
      <c r="AD1" s="1109"/>
      <c r="AE1" s="1109"/>
      <c r="AF1" s="1109"/>
      <c r="AG1" s="1109"/>
      <c r="AH1" s="1109"/>
      <c r="AI1" s="1109"/>
      <c r="AJ1" s="1109"/>
      <c r="AK1" s="1110">
        <f>CoverPage!B11</f>
        <v>44471</v>
      </c>
      <c r="AL1" s="1111"/>
    </row>
    <row r="2" spans="1:38" ht="15" customHeight="1">
      <c r="A2" s="1112" t="s">
        <v>314</v>
      </c>
      <c r="B2" s="1113"/>
      <c r="C2" s="1113"/>
      <c r="D2" s="1113"/>
      <c r="E2" s="1113"/>
      <c r="F2" s="1113"/>
      <c r="G2" s="1113"/>
      <c r="H2" s="1113"/>
      <c r="I2" s="1113"/>
      <c r="J2" s="1113"/>
      <c r="K2" s="1113"/>
      <c r="L2" s="1113"/>
      <c r="M2" s="1113"/>
      <c r="N2" s="1113"/>
      <c r="O2" s="1113"/>
      <c r="P2" s="1113"/>
      <c r="Q2" s="1113"/>
      <c r="R2" s="1113"/>
      <c r="S2" s="1113"/>
      <c r="T2" s="1113"/>
      <c r="U2" s="1113"/>
      <c r="V2" s="1113"/>
      <c r="W2" s="1113"/>
      <c r="X2" s="1113"/>
      <c r="Y2" s="1113"/>
      <c r="Z2" s="1113"/>
      <c r="AA2" s="1113"/>
      <c r="AB2" s="1113"/>
      <c r="AC2" s="1113"/>
      <c r="AD2" s="1113"/>
      <c r="AE2" s="1113"/>
      <c r="AF2" s="1113"/>
      <c r="AG2" s="1113"/>
      <c r="AH2" s="1113"/>
      <c r="AI2" s="1113"/>
      <c r="AJ2" s="1113"/>
      <c r="AK2" s="1113"/>
      <c r="AL2" s="1114"/>
    </row>
    <row r="3" spans="1:38" ht="15" customHeight="1">
      <c r="A3" s="1115" t="s">
        <v>315</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1116"/>
      <c r="AD3" s="1116"/>
      <c r="AE3" s="1116"/>
      <c r="AF3" s="1116"/>
      <c r="AG3" s="1116"/>
      <c r="AH3" s="1116"/>
      <c r="AI3" s="1116"/>
      <c r="AJ3" s="1116"/>
      <c r="AK3" s="1116"/>
      <c r="AL3" s="1117"/>
    </row>
    <row r="4" spans="1:38" ht="15" customHeight="1">
      <c r="A4" s="1115" t="s">
        <v>316</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7"/>
    </row>
    <row r="5" spans="1:38" ht="45" customHeight="1">
      <c r="A5" s="1118" t="s">
        <v>317</v>
      </c>
      <c r="B5" s="1119"/>
      <c r="C5" s="1119"/>
      <c r="D5" s="1119"/>
      <c r="E5" s="1119"/>
      <c r="F5" s="1119"/>
      <c r="G5" s="1119"/>
      <c r="H5" s="1119"/>
      <c r="I5" s="1119"/>
      <c r="J5" s="1119"/>
      <c r="K5" s="1119"/>
      <c r="L5" s="1119"/>
      <c r="M5" s="1119"/>
      <c r="N5" s="1119"/>
      <c r="O5" s="1119"/>
      <c r="P5" s="1119"/>
      <c r="Q5" s="1119"/>
      <c r="R5" s="1119"/>
      <c r="S5" s="1119"/>
      <c r="T5" s="1119"/>
      <c r="U5" s="1119"/>
      <c r="V5" s="1119"/>
      <c r="W5" s="1119"/>
      <c r="X5" s="1119"/>
      <c r="Y5" s="1119"/>
      <c r="Z5" s="1119"/>
      <c r="AA5" s="1119"/>
      <c r="AB5" s="1119"/>
      <c r="AC5" s="1119"/>
      <c r="AD5" s="1119"/>
      <c r="AE5" s="1119"/>
      <c r="AF5" s="1119"/>
      <c r="AG5" s="1119"/>
      <c r="AH5" s="1119"/>
      <c r="AI5" s="1119"/>
      <c r="AJ5" s="1119"/>
      <c r="AK5" s="1119"/>
      <c r="AL5" s="1120"/>
    </row>
    <row r="6" spans="1:38" ht="60" customHeight="1">
      <c r="A6" s="1121"/>
      <c r="B6" s="1122"/>
      <c r="C6" s="1122"/>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3"/>
    </row>
    <row r="7" spans="1:38" ht="30" customHeight="1">
      <c r="A7" s="1124" t="s">
        <v>318</v>
      </c>
      <c r="B7" s="1125"/>
      <c r="C7" s="1125"/>
      <c r="D7" s="1125"/>
      <c r="E7" s="1125"/>
      <c r="F7" s="1125"/>
      <c r="G7" s="1125"/>
      <c r="H7" s="1125"/>
      <c r="I7" s="1125"/>
      <c r="J7" s="1125"/>
      <c r="K7" s="1125"/>
      <c r="L7" s="1125"/>
      <c r="M7" s="1125"/>
      <c r="N7" s="1125"/>
      <c r="O7" s="1125"/>
      <c r="P7" s="1125"/>
      <c r="Q7" s="1125"/>
      <c r="R7" s="1125"/>
      <c r="S7" s="1125"/>
      <c r="T7" s="1125"/>
      <c r="U7" s="1125"/>
      <c r="V7" s="1125"/>
      <c r="W7" s="1125"/>
      <c r="X7" s="1125"/>
      <c r="Y7" s="1125"/>
      <c r="Z7" s="1125"/>
      <c r="AA7" s="1125"/>
      <c r="AB7" s="1125"/>
      <c r="AC7" s="1125"/>
      <c r="AD7" s="1125"/>
      <c r="AE7" s="1125"/>
      <c r="AF7" s="1125"/>
      <c r="AG7" s="1125"/>
      <c r="AH7" s="1125"/>
      <c r="AI7" s="1125"/>
      <c r="AJ7" s="1125"/>
      <c r="AK7" s="1125"/>
      <c r="AL7" s="1126"/>
    </row>
    <row r="8" spans="1:38" ht="15" customHeight="1">
      <c r="A8" s="1127" t="s">
        <v>319</v>
      </c>
      <c r="B8" s="1128"/>
      <c r="C8" s="1128"/>
      <c r="D8" s="1128"/>
      <c r="E8" s="1128"/>
      <c r="F8" s="1128"/>
      <c r="G8" s="1128"/>
      <c r="H8" s="1128"/>
      <c r="I8" s="1128"/>
      <c r="J8" s="1128"/>
      <c r="K8" s="1128"/>
      <c r="L8" s="1128"/>
      <c r="M8" s="1128"/>
      <c r="N8" s="1128"/>
      <c r="O8" s="1128"/>
      <c r="P8" s="1128"/>
      <c r="Q8" s="1128"/>
      <c r="R8" s="1128"/>
      <c r="S8" s="1128"/>
      <c r="T8" s="1128"/>
      <c r="U8" s="1128"/>
      <c r="V8" s="1128"/>
      <c r="W8" s="1128"/>
      <c r="X8" s="1128"/>
      <c r="Y8" s="1128"/>
      <c r="Z8" s="1128"/>
      <c r="AA8" s="1128"/>
      <c r="AB8" s="1128"/>
      <c r="AC8" s="1128"/>
      <c r="AD8" s="1128"/>
      <c r="AE8" s="1128"/>
      <c r="AF8" s="1128"/>
      <c r="AG8" s="1128"/>
      <c r="AH8" s="1128"/>
      <c r="AI8" s="1128"/>
      <c r="AJ8" s="1128"/>
      <c r="AK8" s="1128"/>
      <c r="AL8" s="1129"/>
    </row>
    <row r="9" spans="1:38" ht="15" customHeight="1">
      <c r="A9" s="1115" t="s">
        <v>320</v>
      </c>
      <c r="B9" s="1116"/>
      <c r="C9" s="1116"/>
      <c r="D9" s="1116"/>
      <c r="E9" s="1116"/>
      <c r="F9" s="1116"/>
      <c r="G9" s="1116"/>
      <c r="H9" s="1116"/>
      <c r="I9" s="1116"/>
      <c r="J9" s="1116"/>
      <c r="K9" s="1116"/>
      <c r="L9" s="1116"/>
      <c r="M9" s="1116"/>
      <c r="N9" s="1116"/>
      <c r="O9" s="1116"/>
      <c r="P9" s="1116"/>
      <c r="Q9" s="1116"/>
      <c r="R9" s="1116"/>
      <c r="S9" s="1116"/>
      <c r="T9" s="1116"/>
      <c r="U9" s="1116"/>
      <c r="V9" s="1116"/>
      <c r="W9" s="1116"/>
      <c r="X9" s="1116"/>
      <c r="Y9" s="1116"/>
      <c r="Z9" s="1116"/>
      <c r="AA9" s="1116"/>
      <c r="AB9" s="1116"/>
      <c r="AC9" s="1116"/>
      <c r="AD9" s="1116"/>
      <c r="AE9" s="1116"/>
      <c r="AF9" s="1116"/>
      <c r="AG9" s="1116"/>
      <c r="AH9" s="1116"/>
      <c r="AI9" s="1116"/>
      <c r="AJ9" s="1116"/>
      <c r="AK9" s="1116"/>
      <c r="AL9" s="1117"/>
    </row>
    <row r="10" spans="1:38" ht="15" customHeight="1">
      <c r="A10" s="1130"/>
      <c r="B10" s="1131"/>
      <c r="C10" s="1131"/>
      <c r="D10" s="1131"/>
      <c r="E10" s="1131"/>
      <c r="F10" s="1131"/>
      <c r="G10" s="1131"/>
      <c r="H10" s="1131"/>
      <c r="I10" s="1131"/>
      <c r="J10" s="1132"/>
      <c r="K10" s="1131"/>
      <c r="L10" s="1131"/>
      <c r="M10" s="1131"/>
      <c r="N10" s="1131"/>
      <c r="O10" s="1131"/>
      <c r="P10" s="1131"/>
      <c r="Q10" s="1131"/>
      <c r="R10" s="1131"/>
      <c r="S10" s="1131"/>
      <c r="T10" s="1132"/>
      <c r="U10" s="1131"/>
      <c r="V10" s="1131"/>
      <c r="W10" s="1131"/>
      <c r="X10" s="1131"/>
      <c r="Y10" s="1131"/>
      <c r="Z10" s="1131"/>
      <c r="AA10" s="1131"/>
      <c r="AB10" s="1131"/>
      <c r="AC10" s="1131"/>
      <c r="AD10" s="1131"/>
      <c r="AE10" s="1131"/>
      <c r="AF10" s="1131"/>
      <c r="AG10" s="1131"/>
      <c r="AH10" s="1131"/>
      <c r="AI10" s="1132"/>
      <c r="AJ10" s="1131"/>
      <c r="AK10" s="1131"/>
      <c r="AL10" s="1133"/>
    </row>
    <row r="11" spans="1:38" ht="30" customHeight="1">
      <c r="A11" s="1100" t="s">
        <v>321</v>
      </c>
      <c r="B11" s="1101"/>
      <c r="C11" s="1101"/>
      <c r="D11" s="1101"/>
      <c r="E11" s="1101"/>
      <c r="F11" s="1101"/>
      <c r="G11" s="1101"/>
      <c r="H11" s="1101"/>
      <c r="I11" s="1102"/>
      <c r="J11" s="342"/>
      <c r="K11" s="1103"/>
      <c r="L11" s="1101"/>
      <c r="M11" s="1101"/>
      <c r="N11" s="1101"/>
      <c r="O11" s="1101"/>
      <c r="P11" s="1101"/>
      <c r="Q11" s="1101"/>
      <c r="R11" s="1101"/>
      <c r="S11" s="1102"/>
      <c r="T11" s="343"/>
      <c r="U11" s="1104"/>
      <c r="V11" s="1105"/>
      <c r="W11" s="1105"/>
      <c r="X11" s="1105"/>
      <c r="Y11" s="1105"/>
      <c r="Z11" s="1105"/>
      <c r="AA11" s="1105"/>
      <c r="AB11" s="1105"/>
      <c r="AC11" s="1105"/>
      <c r="AD11" s="1105"/>
      <c r="AE11" s="1105"/>
      <c r="AF11" s="1105"/>
      <c r="AG11" s="1105"/>
      <c r="AH11" s="1105"/>
      <c r="AI11" s="344"/>
      <c r="AJ11" s="1106"/>
      <c r="AK11" s="1106"/>
      <c r="AL11" s="1107"/>
    </row>
    <row r="12" spans="1:38" ht="16" thickBot="1">
      <c r="A12" s="1134" t="s">
        <v>322</v>
      </c>
      <c r="B12" s="1135"/>
      <c r="C12" s="1135"/>
      <c r="D12" s="1135"/>
      <c r="E12" s="1135"/>
      <c r="F12" s="1135"/>
      <c r="G12" s="1135"/>
      <c r="H12" s="1135"/>
      <c r="I12" s="1135"/>
      <c r="J12" s="345"/>
      <c r="K12" s="1135" t="s">
        <v>323</v>
      </c>
      <c r="L12" s="1135"/>
      <c r="M12" s="1135"/>
      <c r="N12" s="1135"/>
      <c r="O12" s="1135"/>
      <c r="P12" s="1135"/>
      <c r="Q12" s="1135"/>
      <c r="R12" s="1135"/>
      <c r="S12" s="1135"/>
      <c r="T12" s="346"/>
      <c r="U12" s="1136" t="s">
        <v>324</v>
      </c>
      <c r="V12" s="1136"/>
      <c r="W12" s="1136"/>
      <c r="X12" s="1136"/>
      <c r="Y12" s="1136"/>
      <c r="Z12" s="1136"/>
      <c r="AA12" s="1136"/>
      <c r="AB12" s="1136"/>
      <c r="AC12" s="1136"/>
      <c r="AD12" s="1136"/>
      <c r="AE12" s="1136"/>
      <c r="AF12" s="1136"/>
      <c r="AG12" s="1136"/>
      <c r="AH12" s="1136"/>
      <c r="AI12" s="347"/>
      <c r="AJ12" s="1136" t="s">
        <v>325</v>
      </c>
      <c r="AK12" s="1136"/>
      <c r="AL12" s="1137"/>
    </row>
    <row r="13" spans="1:38" s="348" customFormat="1" ht="18" customHeight="1">
      <c r="A13" s="1138" t="s">
        <v>326</v>
      </c>
      <c r="B13" s="1139"/>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39"/>
      <c r="AE13" s="1139"/>
      <c r="AF13" s="1139"/>
      <c r="AG13" s="1139"/>
      <c r="AH13" s="1139"/>
      <c r="AI13" s="1139"/>
      <c r="AJ13" s="1139"/>
      <c r="AK13" s="1139"/>
      <c r="AL13" s="1140"/>
    </row>
    <row r="14" spans="1:38" s="47" customFormat="1" ht="30" customHeight="1">
      <c r="A14" s="1115" t="s">
        <v>327</v>
      </c>
      <c r="B14" s="1116"/>
      <c r="C14" s="1116"/>
      <c r="D14" s="1116"/>
      <c r="E14" s="1116"/>
      <c r="F14" s="1116"/>
      <c r="G14" s="1116"/>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6"/>
      <c r="AK14" s="1116"/>
      <c r="AL14" s="1117"/>
    </row>
    <row r="15" spans="1:38" s="349" customFormat="1" ht="60" customHeight="1">
      <c r="A15" s="1115" t="s">
        <v>328</v>
      </c>
      <c r="B15" s="1116"/>
      <c r="C15" s="1116"/>
      <c r="D15" s="1116"/>
      <c r="E15" s="1116"/>
      <c r="F15" s="1116"/>
      <c r="G15" s="1116"/>
      <c r="H15" s="1116"/>
      <c r="I15" s="1116"/>
      <c r="J15" s="1116"/>
      <c r="K15" s="1116"/>
      <c r="L15" s="1116"/>
      <c r="M15" s="1116"/>
      <c r="N15" s="1116"/>
      <c r="O15" s="1116"/>
      <c r="P15" s="1116"/>
      <c r="Q15" s="1116"/>
      <c r="R15" s="1116"/>
      <c r="S15" s="1116"/>
      <c r="T15" s="1116"/>
      <c r="U15" s="1116"/>
      <c r="V15" s="1116"/>
      <c r="W15" s="1116"/>
      <c r="X15" s="1116"/>
      <c r="Y15" s="1116"/>
      <c r="Z15" s="1116"/>
      <c r="AA15" s="1116"/>
      <c r="AB15" s="1116"/>
      <c r="AC15" s="1116"/>
      <c r="AD15" s="1116"/>
      <c r="AE15" s="1116"/>
      <c r="AF15" s="1116"/>
      <c r="AG15" s="1116"/>
      <c r="AH15" s="1116"/>
      <c r="AI15" s="1116"/>
      <c r="AJ15" s="1116"/>
      <c r="AK15" s="1116"/>
      <c r="AL15" s="1117"/>
    </row>
    <row r="16" spans="1:38" s="350" customFormat="1" ht="15" customHeight="1">
      <c r="A16" s="1115" t="s">
        <v>329</v>
      </c>
      <c r="B16" s="1116"/>
      <c r="C16" s="1116"/>
      <c r="D16" s="1116"/>
      <c r="E16" s="1116"/>
      <c r="F16" s="1116"/>
      <c r="G16" s="1116"/>
      <c r="H16" s="1116"/>
      <c r="I16" s="1116"/>
      <c r="J16" s="1116"/>
      <c r="K16" s="1116"/>
      <c r="L16" s="1116"/>
      <c r="M16" s="1116"/>
      <c r="N16" s="1116"/>
      <c r="O16" s="1116"/>
      <c r="P16" s="1116"/>
      <c r="Q16" s="1116"/>
      <c r="R16" s="1116"/>
      <c r="S16" s="1116"/>
      <c r="T16" s="1116"/>
      <c r="U16" s="1116"/>
      <c r="V16" s="1116"/>
      <c r="W16" s="1116"/>
      <c r="X16" s="1116"/>
      <c r="Y16" s="1116"/>
      <c r="Z16" s="1116"/>
      <c r="AA16" s="1116"/>
      <c r="AB16" s="1116"/>
      <c r="AC16" s="1116"/>
      <c r="AD16" s="1116"/>
      <c r="AE16" s="1116"/>
      <c r="AF16" s="1116"/>
      <c r="AG16" s="1116"/>
      <c r="AH16" s="1116"/>
      <c r="AI16" s="1116"/>
      <c r="AJ16" s="1116"/>
      <c r="AK16" s="1116"/>
      <c r="AL16" s="1117"/>
    </row>
    <row r="17" spans="1:38" s="350" customFormat="1" ht="15" customHeight="1">
      <c r="A17" s="1115" t="s">
        <v>330</v>
      </c>
      <c r="B17" s="1116"/>
      <c r="C17" s="1116"/>
      <c r="D17" s="1116"/>
      <c r="E17" s="1116"/>
      <c r="F17" s="1116"/>
      <c r="G17" s="1116"/>
      <c r="H17" s="1116"/>
      <c r="I17" s="1116"/>
      <c r="J17" s="1116"/>
      <c r="K17" s="1116"/>
      <c r="L17" s="1116"/>
      <c r="M17" s="1116"/>
      <c r="N17" s="1116"/>
      <c r="O17" s="1116"/>
      <c r="P17" s="1116"/>
      <c r="Q17" s="1116"/>
      <c r="R17" s="1116"/>
      <c r="S17" s="1116"/>
      <c r="T17" s="1116"/>
      <c r="U17" s="1116"/>
      <c r="V17" s="1116"/>
      <c r="W17" s="1116"/>
      <c r="X17" s="1116"/>
      <c r="Y17" s="1116"/>
      <c r="Z17" s="1116"/>
      <c r="AA17" s="1116"/>
      <c r="AB17" s="1116"/>
      <c r="AC17" s="1116"/>
      <c r="AD17" s="1116"/>
      <c r="AE17" s="1116"/>
      <c r="AF17" s="1116"/>
      <c r="AG17" s="1116"/>
      <c r="AH17" s="1116"/>
      <c r="AI17" s="1116"/>
      <c r="AJ17" s="1116"/>
      <c r="AK17" s="1116"/>
      <c r="AL17" s="1117"/>
    </row>
    <row r="18" spans="1:38" s="351" customFormat="1" ht="15" customHeight="1">
      <c r="A18" s="1141" t="s">
        <v>331</v>
      </c>
      <c r="B18" s="1142"/>
      <c r="C18" s="1142"/>
      <c r="D18" s="1142"/>
      <c r="E18" s="1142"/>
      <c r="F18" s="1142"/>
      <c r="G18" s="1142"/>
      <c r="H18" s="1142"/>
      <c r="I18" s="1142"/>
      <c r="J18" s="1142"/>
      <c r="K18" s="1142"/>
      <c r="L18" s="1142"/>
      <c r="M18" s="1142"/>
      <c r="N18" s="1142"/>
      <c r="O18" s="1142"/>
      <c r="P18" s="1142"/>
      <c r="Q18" s="1142"/>
      <c r="R18" s="1142"/>
      <c r="S18" s="1142"/>
      <c r="T18" s="1142"/>
      <c r="U18" s="1142"/>
      <c r="V18" s="1142"/>
      <c r="W18" s="1142"/>
      <c r="X18" s="1142"/>
      <c r="Y18" s="1142"/>
      <c r="Z18" s="1142"/>
      <c r="AA18" s="1142"/>
      <c r="AB18" s="1142"/>
      <c r="AC18" s="1142"/>
      <c r="AD18" s="1142"/>
      <c r="AE18" s="1142"/>
      <c r="AF18" s="1142"/>
      <c r="AG18" s="1142"/>
      <c r="AH18" s="1142"/>
      <c r="AI18" s="1142"/>
      <c r="AJ18" s="1142"/>
      <c r="AK18" s="1142"/>
      <c r="AL18" s="1143"/>
    </row>
    <row r="19" spans="1:38" s="350" customFormat="1" ht="30" customHeight="1">
      <c r="A19" s="1144" t="s">
        <v>332</v>
      </c>
      <c r="B19" s="1113"/>
      <c r="C19" s="1113"/>
      <c r="D19" s="1113"/>
      <c r="E19" s="1113"/>
      <c r="F19" s="1113"/>
      <c r="G19" s="1113"/>
      <c r="H19" s="1113"/>
      <c r="I19" s="1113"/>
      <c r="J19" s="1113"/>
      <c r="K19" s="1113"/>
      <c r="L19" s="1113"/>
      <c r="M19" s="1113"/>
      <c r="N19" s="1113"/>
      <c r="O19" s="1113"/>
      <c r="P19" s="1113"/>
      <c r="Q19" s="1113"/>
      <c r="R19" s="1113"/>
      <c r="S19" s="1113"/>
      <c r="T19" s="1113"/>
      <c r="U19" s="1113"/>
      <c r="V19" s="1113"/>
      <c r="W19" s="1113"/>
      <c r="X19" s="1113"/>
      <c r="Y19" s="1113"/>
      <c r="Z19" s="1113"/>
      <c r="AA19" s="1113"/>
      <c r="AB19" s="1113"/>
      <c r="AC19" s="1113"/>
      <c r="AD19" s="1113"/>
      <c r="AE19" s="1113"/>
      <c r="AF19" s="1113"/>
      <c r="AG19" s="1113"/>
      <c r="AH19" s="1113"/>
      <c r="AI19" s="1113"/>
      <c r="AJ19" s="1113"/>
      <c r="AK19" s="1113"/>
      <c r="AL19" s="1114"/>
    </row>
    <row r="20" spans="1:38" s="350" customFormat="1" ht="45" customHeight="1">
      <c r="A20" s="1115" t="s">
        <v>333</v>
      </c>
      <c r="B20" s="1116"/>
      <c r="C20" s="1116"/>
      <c r="D20" s="1116"/>
      <c r="E20" s="1116"/>
      <c r="F20" s="1116"/>
      <c r="G20" s="1116"/>
      <c r="H20" s="1116"/>
      <c r="I20" s="1116"/>
      <c r="J20" s="1116"/>
      <c r="K20" s="1116"/>
      <c r="L20" s="1116"/>
      <c r="M20" s="1116"/>
      <c r="N20" s="1116"/>
      <c r="O20" s="1116"/>
      <c r="P20" s="1116"/>
      <c r="Q20" s="1116"/>
      <c r="R20" s="1116"/>
      <c r="S20" s="1116"/>
      <c r="T20" s="1116"/>
      <c r="U20" s="1116"/>
      <c r="V20" s="1116"/>
      <c r="W20" s="1116"/>
      <c r="X20" s="1116"/>
      <c r="Y20" s="1116"/>
      <c r="Z20" s="1116"/>
      <c r="AA20" s="1116"/>
      <c r="AB20" s="1116"/>
      <c r="AC20" s="1116"/>
      <c r="AD20" s="1116"/>
      <c r="AE20" s="1116"/>
      <c r="AF20" s="1116"/>
      <c r="AG20" s="1116"/>
      <c r="AH20" s="1116"/>
      <c r="AI20" s="1116"/>
      <c r="AJ20" s="1116"/>
      <c r="AK20" s="1116"/>
      <c r="AL20" s="1117"/>
    </row>
    <row r="21" spans="1:38" s="349" customFormat="1" ht="15" customHeight="1">
      <c r="A21" s="1148" t="s">
        <v>334</v>
      </c>
      <c r="B21" s="1149"/>
      <c r="C21" s="1149"/>
      <c r="D21" s="1149"/>
      <c r="E21" s="1149"/>
      <c r="F21" s="1149"/>
      <c r="G21" s="1149"/>
      <c r="H21" s="1149"/>
      <c r="I21" s="1149"/>
      <c r="J21" s="1149"/>
      <c r="K21" s="1149"/>
      <c r="L21" s="1149"/>
      <c r="M21" s="1149"/>
      <c r="N21" s="1149"/>
      <c r="O21" s="1149"/>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50"/>
      <c r="AL21" s="1151"/>
    </row>
    <row r="22" spans="1:38" s="350" customFormat="1" ht="30" customHeight="1">
      <c r="A22" s="1124" t="s">
        <v>335</v>
      </c>
      <c r="B22" s="1125"/>
      <c r="C22" s="1125"/>
      <c r="D22" s="1125"/>
      <c r="E22" s="1125"/>
      <c r="F22" s="1125"/>
      <c r="G22" s="1125"/>
      <c r="H22" s="1125"/>
      <c r="I22" s="1125"/>
      <c r="J22" s="1125"/>
      <c r="K22" s="1125"/>
      <c r="L22" s="1125"/>
      <c r="M22" s="1125"/>
      <c r="N22" s="1125"/>
      <c r="O22" s="1125"/>
      <c r="P22" s="1125"/>
      <c r="Q22" s="1125"/>
      <c r="R22" s="1125"/>
      <c r="S22" s="1125"/>
      <c r="T22" s="1125"/>
      <c r="U22" s="1125"/>
      <c r="V22" s="1125"/>
      <c r="W22" s="1125"/>
      <c r="X22" s="1125"/>
      <c r="Y22" s="1125"/>
      <c r="Z22" s="1125"/>
      <c r="AA22" s="1125"/>
      <c r="AB22" s="1125"/>
      <c r="AC22" s="1125"/>
      <c r="AD22" s="1125"/>
      <c r="AE22" s="1125"/>
      <c r="AF22" s="1125"/>
      <c r="AG22" s="1125"/>
      <c r="AH22" s="1125"/>
      <c r="AI22" s="1125"/>
      <c r="AJ22" s="1145"/>
      <c r="AK22" s="1146"/>
      <c r="AL22" s="1147"/>
    </row>
    <row r="23" spans="1:38" s="350" customFormat="1" ht="30" customHeight="1">
      <c r="A23" s="1124" t="s">
        <v>336</v>
      </c>
      <c r="B23" s="1125"/>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1125"/>
      <c r="AC23" s="1125"/>
      <c r="AD23" s="1125"/>
      <c r="AE23" s="1125"/>
      <c r="AF23" s="1125"/>
      <c r="AG23" s="1125"/>
      <c r="AH23" s="1125"/>
      <c r="AI23" s="1125"/>
      <c r="AJ23" s="1145"/>
      <c r="AK23" s="1146"/>
      <c r="AL23" s="1147"/>
    </row>
    <row r="24" spans="1:38" s="350" customFormat="1" ht="30" customHeight="1">
      <c r="A24" s="1124" t="s">
        <v>337</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45"/>
      <c r="AK24" s="1146"/>
      <c r="AL24" s="1147"/>
    </row>
    <row r="25" spans="1:38" s="350" customFormat="1" ht="30" customHeight="1">
      <c r="A25" s="1124" t="s">
        <v>338</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45"/>
      <c r="AK25" s="1146"/>
      <c r="AL25" s="1147"/>
    </row>
    <row r="26" spans="1:38" s="350" customFormat="1" ht="45" customHeight="1">
      <c r="A26" s="1124" t="s">
        <v>339</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45"/>
      <c r="AK26" s="1146"/>
      <c r="AL26" s="1147"/>
    </row>
    <row r="27" spans="1:38" s="349" customFormat="1" ht="15" customHeight="1">
      <c r="A27" s="1112" t="s">
        <v>340</v>
      </c>
      <c r="B27" s="1113"/>
      <c r="C27" s="1113"/>
      <c r="D27" s="1113"/>
      <c r="E27" s="1113"/>
      <c r="F27" s="1113"/>
      <c r="G27" s="1113"/>
      <c r="H27" s="1113"/>
      <c r="I27" s="1113"/>
      <c r="J27" s="1113"/>
      <c r="K27" s="1113"/>
      <c r="L27" s="1113"/>
      <c r="M27" s="1113"/>
      <c r="N27" s="1113"/>
      <c r="O27" s="1113"/>
      <c r="P27" s="1113"/>
      <c r="Q27" s="1113"/>
      <c r="R27" s="1113"/>
      <c r="S27" s="1113"/>
      <c r="T27" s="1113"/>
      <c r="U27" s="1113"/>
      <c r="V27" s="1113"/>
      <c r="W27" s="1113"/>
      <c r="X27" s="1113"/>
      <c r="Y27" s="1113"/>
      <c r="Z27" s="1113"/>
      <c r="AA27" s="1113"/>
      <c r="AB27" s="1113"/>
      <c r="AC27" s="1113"/>
      <c r="AD27" s="1113"/>
      <c r="AE27" s="1113"/>
      <c r="AF27" s="1113"/>
      <c r="AG27" s="1113"/>
      <c r="AH27" s="1113"/>
      <c r="AI27" s="1113"/>
      <c r="AJ27" s="1113"/>
      <c r="AK27" s="1113"/>
      <c r="AL27" s="1114"/>
    </row>
    <row r="28" spans="1:38" s="350" customFormat="1" ht="30" customHeight="1">
      <c r="A28" s="1124" t="s">
        <v>341</v>
      </c>
      <c r="B28" s="1125"/>
      <c r="C28" s="1125"/>
      <c r="D28" s="1125"/>
      <c r="E28" s="1125"/>
      <c r="F28" s="1125"/>
      <c r="G28" s="1125"/>
      <c r="H28" s="1125"/>
      <c r="I28" s="1125"/>
      <c r="J28" s="1125"/>
      <c r="K28" s="1125"/>
      <c r="L28" s="1125"/>
      <c r="M28" s="1125"/>
      <c r="N28" s="1125"/>
      <c r="O28" s="1125"/>
      <c r="P28" s="1125"/>
      <c r="Q28" s="1125"/>
      <c r="R28" s="1125"/>
      <c r="S28" s="1125"/>
      <c r="T28" s="1125"/>
      <c r="U28" s="1125"/>
      <c r="V28" s="1125"/>
      <c r="W28" s="1125"/>
      <c r="X28" s="1125"/>
      <c r="Y28" s="1125"/>
      <c r="Z28" s="1125"/>
      <c r="AA28" s="1125"/>
      <c r="AB28" s="1125"/>
      <c r="AC28" s="1125"/>
      <c r="AD28" s="1125"/>
      <c r="AE28" s="1125"/>
      <c r="AF28" s="1125"/>
      <c r="AG28" s="1125"/>
      <c r="AH28" s="1125"/>
      <c r="AI28" s="1125"/>
      <c r="AJ28" s="1145"/>
      <c r="AK28" s="1146"/>
      <c r="AL28" s="1147"/>
    </row>
    <row r="29" spans="1:38" s="350" customFormat="1" ht="45" customHeight="1">
      <c r="A29" s="1124" t="s">
        <v>342</v>
      </c>
      <c r="B29" s="1125"/>
      <c r="C29" s="1125"/>
      <c r="D29" s="1125"/>
      <c r="E29" s="1125"/>
      <c r="F29" s="1125"/>
      <c r="G29" s="1125"/>
      <c r="H29" s="1125"/>
      <c r="I29" s="1125"/>
      <c r="J29" s="1125"/>
      <c r="K29" s="1125"/>
      <c r="L29" s="1125"/>
      <c r="M29" s="1125"/>
      <c r="N29" s="1125"/>
      <c r="O29" s="1125"/>
      <c r="P29" s="1125"/>
      <c r="Q29" s="1125"/>
      <c r="R29" s="1125"/>
      <c r="S29" s="1125"/>
      <c r="T29" s="1125"/>
      <c r="U29" s="1125"/>
      <c r="V29" s="1125"/>
      <c r="W29" s="1125"/>
      <c r="X29" s="1125"/>
      <c r="Y29" s="1125"/>
      <c r="Z29" s="1125"/>
      <c r="AA29" s="1125"/>
      <c r="AB29" s="1125"/>
      <c r="AC29" s="1125"/>
      <c r="AD29" s="1125"/>
      <c r="AE29" s="1125"/>
      <c r="AF29" s="1125"/>
      <c r="AG29" s="1125"/>
      <c r="AH29" s="1125"/>
      <c r="AI29" s="1125"/>
      <c r="AJ29" s="1145"/>
      <c r="AK29" s="1146"/>
      <c r="AL29" s="1147"/>
    </row>
    <row r="30" spans="1:38" s="350" customFormat="1" ht="45" customHeight="1">
      <c r="A30" s="1124" t="s">
        <v>343</v>
      </c>
      <c r="B30" s="1125"/>
      <c r="C30" s="1125"/>
      <c r="D30" s="1125"/>
      <c r="E30" s="1125"/>
      <c r="F30" s="1125"/>
      <c r="G30" s="1125"/>
      <c r="H30" s="1125"/>
      <c r="I30" s="1125"/>
      <c r="J30" s="1125"/>
      <c r="K30" s="1125"/>
      <c r="L30" s="1125"/>
      <c r="M30" s="1125"/>
      <c r="N30" s="1125"/>
      <c r="O30" s="1125"/>
      <c r="P30" s="1125"/>
      <c r="Q30" s="1125"/>
      <c r="R30" s="1125"/>
      <c r="S30" s="1125"/>
      <c r="T30" s="1125"/>
      <c r="U30" s="1125"/>
      <c r="V30" s="1125"/>
      <c r="W30" s="1125"/>
      <c r="X30" s="1125"/>
      <c r="Y30" s="1125"/>
      <c r="Z30" s="1125"/>
      <c r="AA30" s="1125"/>
      <c r="AB30" s="1125"/>
      <c r="AC30" s="1125"/>
      <c r="AD30" s="1125"/>
      <c r="AE30" s="1125"/>
      <c r="AF30" s="1125"/>
      <c r="AG30" s="1125"/>
      <c r="AH30" s="1125"/>
      <c r="AI30" s="1125"/>
      <c r="AJ30" s="1145"/>
      <c r="AK30" s="1146"/>
      <c r="AL30" s="1147"/>
    </row>
    <row r="31" spans="1:38" s="350" customFormat="1" ht="30" customHeight="1">
      <c r="A31" s="1124" t="s">
        <v>344</v>
      </c>
      <c r="B31" s="1125"/>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5"/>
      <c r="Y31" s="1125"/>
      <c r="Z31" s="1125"/>
      <c r="AA31" s="1125"/>
      <c r="AB31" s="1125"/>
      <c r="AC31" s="1125"/>
      <c r="AD31" s="1125"/>
      <c r="AE31" s="1125"/>
      <c r="AF31" s="1125"/>
      <c r="AG31" s="1125"/>
      <c r="AH31" s="1125"/>
      <c r="AI31" s="1125"/>
      <c r="AJ31" s="1145"/>
      <c r="AK31" s="1146"/>
      <c r="AL31" s="1147"/>
    </row>
    <row r="32" spans="1:38" s="350" customFormat="1" ht="15" customHeight="1">
      <c r="A32" s="1124" t="s">
        <v>345</v>
      </c>
      <c r="B32" s="1125"/>
      <c r="C32" s="1125"/>
      <c r="D32" s="1125"/>
      <c r="E32" s="1125"/>
      <c r="F32" s="1125"/>
      <c r="G32" s="1125"/>
      <c r="H32" s="1125"/>
      <c r="I32" s="1125"/>
      <c r="J32" s="1125"/>
      <c r="K32" s="1125"/>
      <c r="L32" s="1125"/>
      <c r="M32" s="1125"/>
      <c r="N32" s="1125"/>
      <c r="O32" s="1125"/>
      <c r="P32" s="1125"/>
      <c r="Q32" s="1125"/>
      <c r="R32" s="1125"/>
      <c r="S32" s="1125"/>
      <c r="T32" s="1125"/>
      <c r="U32" s="1125"/>
      <c r="V32" s="1125"/>
      <c r="W32" s="1125"/>
      <c r="X32" s="1125"/>
      <c r="Y32" s="1125"/>
      <c r="Z32" s="1125"/>
      <c r="AA32" s="1125"/>
      <c r="AB32" s="1125"/>
      <c r="AC32" s="1125"/>
      <c r="AD32" s="1125"/>
      <c r="AE32" s="1125"/>
      <c r="AF32" s="1125"/>
      <c r="AG32" s="1125"/>
      <c r="AH32" s="1125"/>
      <c r="AI32" s="1125"/>
      <c r="AJ32" s="1145"/>
      <c r="AK32" s="1146"/>
      <c r="AL32" s="1147"/>
    </row>
    <row r="33" spans="1:38" s="350" customFormat="1" ht="15" customHeight="1">
      <c r="A33" s="1124" t="s">
        <v>346</v>
      </c>
      <c r="B33" s="1125"/>
      <c r="C33" s="1125"/>
      <c r="D33" s="1125"/>
      <c r="E33" s="1125"/>
      <c r="F33" s="1125"/>
      <c r="G33" s="1125"/>
      <c r="H33" s="1125"/>
      <c r="I33" s="1125"/>
      <c r="J33" s="1125"/>
      <c r="K33" s="1125"/>
      <c r="L33" s="1125"/>
      <c r="M33" s="1125"/>
      <c r="N33" s="1125"/>
      <c r="O33" s="1125"/>
      <c r="P33" s="1125"/>
      <c r="Q33" s="1125"/>
      <c r="R33" s="1125"/>
      <c r="S33" s="1125"/>
      <c r="T33" s="1125"/>
      <c r="U33" s="1125"/>
      <c r="V33" s="1125"/>
      <c r="W33" s="1125"/>
      <c r="X33" s="1125"/>
      <c r="Y33" s="1125"/>
      <c r="Z33" s="1125"/>
      <c r="AA33" s="1125"/>
      <c r="AB33" s="1125"/>
      <c r="AC33" s="1125"/>
      <c r="AD33" s="1125"/>
      <c r="AE33" s="1125"/>
      <c r="AF33" s="1125"/>
      <c r="AG33" s="1125"/>
      <c r="AH33" s="1125"/>
      <c r="AI33" s="1125"/>
      <c r="AJ33" s="1145"/>
      <c r="AK33" s="1146"/>
      <c r="AL33" s="1147"/>
    </row>
    <row r="34" spans="1:38" s="350" customFormat="1" ht="15" customHeight="1">
      <c r="A34" s="1124" t="s">
        <v>347</v>
      </c>
      <c r="B34" s="1125"/>
      <c r="C34" s="1125"/>
      <c r="D34" s="1125"/>
      <c r="E34" s="1125"/>
      <c r="F34" s="1125"/>
      <c r="G34" s="1125"/>
      <c r="H34" s="1125"/>
      <c r="I34" s="1125"/>
      <c r="J34" s="1125"/>
      <c r="K34" s="1125"/>
      <c r="L34" s="1125"/>
      <c r="M34" s="1125"/>
      <c r="N34" s="1125"/>
      <c r="O34" s="1125"/>
      <c r="P34" s="1125"/>
      <c r="Q34" s="1125"/>
      <c r="R34" s="1125"/>
      <c r="S34" s="1125"/>
      <c r="T34" s="1125"/>
      <c r="U34" s="1125"/>
      <c r="V34" s="1125"/>
      <c r="W34" s="1125"/>
      <c r="X34" s="1125"/>
      <c r="Y34" s="1125"/>
      <c r="Z34" s="1125"/>
      <c r="AA34" s="1125"/>
      <c r="AB34" s="1125"/>
      <c r="AC34" s="1125"/>
      <c r="AD34" s="1125"/>
      <c r="AE34" s="1125"/>
      <c r="AF34" s="1125"/>
      <c r="AG34" s="1125"/>
      <c r="AH34" s="1125"/>
      <c r="AI34" s="1125"/>
      <c r="AJ34" s="1145"/>
      <c r="AK34" s="1146"/>
      <c r="AL34" s="1147"/>
    </row>
    <row r="35" spans="1:38" s="350" customFormat="1" ht="15" customHeight="1">
      <c r="A35" s="1152" t="s">
        <v>348</v>
      </c>
      <c r="B35" s="1153"/>
      <c r="C35" s="1153"/>
      <c r="D35" s="1153"/>
      <c r="E35" s="1153"/>
      <c r="F35" s="1153"/>
      <c r="G35" s="1153"/>
      <c r="H35" s="1153"/>
      <c r="I35" s="1153"/>
      <c r="J35" s="1153"/>
      <c r="K35" s="1153"/>
      <c r="L35" s="1153"/>
      <c r="M35" s="1153"/>
      <c r="N35" s="1153"/>
      <c r="O35" s="1153"/>
      <c r="P35" s="1153"/>
      <c r="Q35" s="1153"/>
      <c r="R35" s="1153"/>
      <c r="S35" s="1153"/>
      <c r="T35" s="1153"/>
      <c r="U35" s="1153"/>
      <c r="V35" s="1153"/>
      <c r="W35" s="1153"/>
      <c r="X35" s="1153"/>
      <c r="Y35" s="1153"/>
      <c r="Z35" s="1153"/>
      <c r="AA35" s="1153"/>
      <c r="AB35" s="1153"/>
      <c r="AC35" s="1153"/>
      <c r="AD35" s="1153"/>
      <c r="AE35" s="1153"/>
      <c r="AF35" s="1153"/>
      <c r="AG35" s="1153"/>
      <c r="AH35" s="1153"/>
      <c r="AI35" s="1153"/>
      <c r="AJ35" s="1153"/>
      <c r="AK35" s="1153"/>
      <c r="AL35" s="1154"/>
    </row>
    <row r="36" spans="1:38" s="352" customFormat="1" ht="15" customHeight="1">
      <c r="A36" s="1155" t="s">
        <v>152</v>
      </c>
      <c r="B36" s="1156"/>
      <c r="C36" s="1157"/>
      <c r="D36" s="1158" t="s">
        <v>349</v>
      </c>
      <c r="E36" s="1158"/>
      <c r="F36" s="1158"/>
      <c r="G36" s="1158"/>
      <c r="H36" s="1158"/>
      <c r="I36" s="1158"/>
      <c r="J36" s="1158"/>
      <c r="K36" s="1158"/>
      <c r="L36" s="1159" t="s">
        <v>350</v>
      </c>
      <c r="M36" s="825"/>
      <c r="N36" s="825"/>
      <c r="O36" s="825"/>
      <c r="P36" s="825"/>
      <c r="Q36" s="825"/>
      <c r="R36" s="825"/>
      <c r="S36" s="825"/>
      <c r="T36" s="825"/>
      <c r="U36" s="825"/>
      <c r="V36" s="825"/>
      <c r="W36" s="825"/>
      <c r="X36" s="825"/>
      <c r="Y36" s="825"/>
      <c r="Z36" s="825"/>
      <c r="AA36" s="825"/>
      <c r="AB36" s="825"/>
      <c r="AC36" s="825"/>
      <c r="AD36" s="825"/>
      <c r="AE36" s="826"/>
      <c r="AF36" s="1160" t="s">
        <v>112</v>
      </c>
      <c r="AG36" s="1161"/>
      <c r="AH36" s="1161"/>
      <c r="AI36" s="1161"/>
      <c r="AJ36" s="1162"/>
      <c r="AK36" s="1146"/>
      <c r="AL36" s="1147"/>
    </row>
    <row r="37" spans="1:38">
      <c r="A37" s="1163"/>
      <c r="B37" s="1164"/>
      <c r="C37" s="1164"/>
      <c r="D37" s="1164"/>
      <c r="E37" s="1164"/>
      <c r="F37" s="1164"/>
      <c r="G37" s="1164"/>
      <c r="H37" s="1164"/>
      <c r="I37" s="1164"/>
      <c r="J37" s="1164"/>
      <c r="K37" s="1164"/>
      <c r="L37" s="1164"/>
      <c r="M37" s="1164"/>
      <c r="N37" s="1164"/>
      <c r="O37" s="1164"/>
      <c r="P37" s="1164"/>
      <c r="Q37" s="1164"/>
      <c r="R37" s="1164"/>
      <c r="S37" s="1164"/>
      <c r="T37" s="1164"/>
      <c r="U37" s="1164"/>
      <c r="V37" s="1164"/>
      <c r="W37" s="1164"/>
      <c r="X37" s="1164"/>
      <c r="Y37" s="1164"/>
      <c r="Z37" s="1164"/>
      <c r="AA37" s="1164"/>
      <c r="AB37" s="1164"/>
      <c r="AC37" s="1164"/>
      <c r="AD37" s="1164"/>
      <c r="AE37" s="1164"/>
      <c r="AF37" s="1164"/>
      <c r="AG37" s="1164"/>
      <c r="AH37" s="1164"/>
      <c r="AI37" s="1164"/>
      <c r="AJ37" s="1164"/>
      <c r="AK37" s="1164"/>
      <c r="AL37" s="1165"/>
    </row>
    <row r="38" spans="1:38" ht="30" customHeight="1">
      <c r="A38" s="1100" t="s">
        <v>321</v>
      </c>
      <c r="B38" s="1101"/>
      <c r="C38" s="1101"/>
      <c r="D38" s="1101"/>
      <c r="E38" s="1101"/>
      <c r="F38" s="1101"/>
      <c r="G38" s="1101"/>
      <c r="H38" s="1101"/>
      <c r="I38" s="1102"/>
      <c r="J38" s="342"/>
      <c r="K38" s="1103"/>
      <c r="L38" s="1101"/>
      <c r="M38" s="1101"/>
      <c r="N38" s="1101"/>
      <c r="O38" s="1101"/>
      <c r="P38" s="1101"/>
      <c r="Q38" s="1101"/>
      <c r="R38" s="1101"/>
      <c r="S38" s="1102"/>
      <c r="T38" s="353"/>
      <c r="U38" s="1166"/>
      <c r="V38" s="1167"/>
      <c r="W38" s="1167"/>
      <c r="X38" s="1167"/>
      <c r="Y38" s="1167"/>
      <c r="Z38" s="1167"/>
      <c r="AA38" s="1167"/>
      <c r="AB38" s="1167"/>
      <c r="AC38" s="1167"/>
      <c r="AD38" s="1167"/>
      <c r="AE38" s="1167"/>
      <c r="AF38" s="1167"/>
      <c r="AG38" s="1167"/>
      <c r="AH38" s="1167"/>
      <c r="AI38" s="354"/>
      <c r="AJ38" s="1106"/>
      <c r="AK38" s="1106"/>
      <c r="AL38" s="1107"/>
    </row>
    <row r="39" spans="1:38" ht="14.5" thickBot="1">
      <c r="A39" s="1134" t="s">
        <v>322</v>
      </c>
      <c r="B39" s="1135"/>
      <c r="C39" s="1135"/>
      <c r="D39" s="1135"/>
      <c r="E39" s="1135"/>
      <c r="F39" s="1135"/>
      <c r="G39" s="1135"/>
      <c r="H39" s="1135"/>
      <c r="I39" s="1135"/>
      <c r="J39" s="355"/>
      <c r="K39" s="1135" t="s">
        <v>323</v>
      </c>
      <c r="L39" s="1135"/>
      <c r="M39" s="1135"/>
      <c r="N39" s="1135"/>
      <c r="O39" s="1135"/>
      <c r="P39" s="1135"/>
      <c r="Q39" s="1135"/>
      <c r="R39" s="1135"/>
      <c r="S39" s="1135"/>
      <c r="T39" s="356"/>
      <c r="U39" s="1136" t="s">
        <v>324</v>
      </c>
      <c r="V39" s="1136"/>
      <c r="W39" s="1136"/>
      <c r="X39" s="1136"/>
      <c r="Y39" s="1136"/>
      <c r="Z39" s="1136"/>
      <c r="AA39" s="1136"/>
      <c r="AB39" s="1136"/>
      <c r="AC39" s="1136"/>
      <c r="AD39" s="1136"/>
      <c r="AE39" s="1136"/>
      <c r="AF39" s="1136"/>
      <c r="AG39" s="1136"/>
      <c r="AH39" s="1136"/>
      <c r="AI39" s="357"/>
      <c r="AJ39" s="1136" t="s">
        <v>325</v>
      </c>
      <c r="AK39" s="1136"/>
      <c r="AL39" s="1137"/>
    </row>
    <row r="40" spans="1:38" s="47" customFormat="1"/>
    <row r="41" spans="1:38" s="47" customFormat="1"/>
    <row r="42" spans="1:38" s="47" customFormat="1"/>
    <row r="43" spans="1:38" s="47" customFormat="1"/>
  </sheetData>
  <sheetProtection algorithmName="SHA-512" hashValue="nPyZsEJOItgX0d8mz5Ay4CgAbUCys0r2z8pilsqf7iEK/+R4CSgxQGQAFe8f50IVWz5wy6d0hePJHxVno4Ambg==" saltValue="nXsKefS++489IlqIn22JeQ==" spinCount="100000" sheet="1" objects="1" scenarios="1"/>
  <mergeCells count="68">
    <mergeCell ref="A39:I39"/>
    <mergeCell ref="K39:S39"/>
    <mergeCell ref="U39:AH39"/>
    <mergeCell ref="AJ39:AL39"/>
    <mergeCell ref="A35:AL35"/>
    <mergeCell ref="A36:C36"/>
    <mergeCell ref="D36:K36"/>
    <mergeCell ref="L36:AE36"/>
    <mergeCell ref="AF36:AJ36"/>
    <mergeCell ref="AK36:AL36"/>
    <mergeCell ref="A37:AL37"/>
    <mergeCell ref="A38:I38"/>
    <mergeCell ref="K38:S38"/>
    <mergeCell ref="U38:AH38"/>
    <mergeCell ref="AJ38:AL38"/>
    <mergeCell ref="A32:AJ32"/>
    <mergeCell ref="AK32:AL32"/>
    <mergeCell ref="A33:AJ33"/>
    <mergeCell ref="AK33:AL33"/>
    <mergeCell ref="A34:AJ34"/>
    <mergeCell ref="AK34:AL34"/>
    <mergeCell ref="A29:AJ29"/>
    <mergeCell ref="AK29:AL29"/>
    <mergeCell ref="A30:AJ30"/>
    <mergeCell ref="AK30:AL30"/>
    <mergeCell ref="A31:AJ31"/>
    <mergeCell ref="AK31:AL31"/>
    <mergeCell ref="A28:AJ28"/>
    <mergeCell ref="AK28:AL28"/>
    <mergeCell ref="A21:AL21"/>
    <mergeCell ref="A22:AJ22"/>
    <mergeCell ref="AK22:AL22"/>
    <mergeCell ref="A23:AJ23"/>
    <mergeCell ref="AK23:AL23"/>
    <mergeCell ref="A24:AJ24"/>
    <mergeCell ref="AK24:AL24"/>
    <mergeCell ref="A25:AJ25"/>
    <mergeCell ref="AK25:AL25"/>
    <mergeCell ref="A26:AJ26"/>
    <mergeCell ref="AK26:AL26"/>
    <mergeCell ref="A27:AL27"/>
    <mergeCell ref="A20:AL20"/>
    <mergeCell ref="A12:I12"/>
    <mergeCell ref="K12:S12"/>
    <mergeCell ref="U12:AH12"/>
    <mergeCell ref="AJ12:AL12"/>
    <mergeCell ref="A13:AL13"/>
    <mergeCell ref="A14:AL14"/>
    <mergeCell ref="A15:AL15"/>
    <mergeCell ref="A16:AL16"/>
    <mergeCell ref="A17:AL17"/>
    <mergeCell ref="A18:AL18"/>
    <mergeCell ref="A19:AL19"/>
    <mergeCell ref="A11:I11"/>
    <mergeCell ref="K11:S11"/>
    <mergeCell ref="U11:AH11"/>
    <mergeCell ref="AJ11:AL11"/>
    <mergeCell ref="A1:AJ1"/>
    <mergeCell ref="AK1:AL1"/>
    <mergeCell ref="A2:AL2"/>
    <mergeCell ref="A3:AL3"/>
    <mergeCell ref="A4:AL4"/>
    <mergeCell ref="A5:AL5"/>
    <mergeCell ref="A6:AL6"/>
    <mergeCell ref="A7:AL7"/>
    <mergeCell ref="A8:AL8"/>
    <mergeCell ref="A9:AL9"/>
    <mergeCell ref="A10:AL10"/>
  </mergeCells>
  <conditionalFormatting sqref="AK36">
    <cfRule type="cellIs" dxfId="56" priority="3" operator="equal">
      <formula>"No"</formula>
    </cfRule>
  </conditionalFormatting>
  <conditionalFormatting sqref="AK22:AK26">
    <cfRule type="cellIs" dxfId="55" priority="2" operator="equal">
      <formula>"Yes"</formula>
    </cfRule>
  </conditionalFormatting>
  <conditionalFormatting sqref="AK28:AK34">
    <cfRule type="cellIs" dxfId="54" priority="1" operator="equal">
      <formula>"Yes"</formula>
    </cfRule>
  </conditionalFormatting>
  <dataValidations count="2">
    <dataValidation type="list" allowBlank="1" showInputMessage="1" showErrorMessage="1" sqref="AK22:AL26 AK28:AL34" xr:uid="{0F76FCED-689E-4534-826A-D8AB3E9AA555}">
      <formula1>"Yes,No"</formula1>
    </dataValidation>
    <dataValidation type="list" allowBlank="1" showInputMessage="1" showErrorMessage="1" sqref="AK36:AL36" xr:uid="{D78B80E5-921A-4DE1-A9F4-EAB67C3AB74D}">
      <formula1>"Yes,No,N/A"</formula1>
    </dataValidation>
  </dataValidations>
  <printOptions horizontalCentered="1"/>
  <pageMargins left="0.25" right="0.25" top="0.5" bottom="0.3" header="0" footer="0"/>
  <pageSetup scale="65" fitToHeight="0" orientation="portrait" r:id="rId1"/>
  <headerFooter scaleWithDoc="0" alignWithMargins="0">
    <oddFooter>&amp;L&amp;9Homekey Round 2&amp;C&amp;9Page &amp;P of &amp;N&amp;R&amp;"Arial,Italic"&amp;9&amp;A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CC574-6432-44F2-B480-B3D7EE269BBA}">
  <sheetPr codeName="Sheet6">
    <tabColor theme="4" tint="-0.249977111117893"/>
    <pageSetUpPr fitToPage="1"/>
  </sheetPr>
  <dimension ref="A1:AL18"/>
  <sheetViews>
    <sheetView showGridLines="0" workbookViewId="0">
      <selection sqref="A1:AJ1"/>
    </sheetView>
  </sheetViews>
  <sheetFormatPr defaultColWidth="9.1796875" defaultRowHeight="12.5"/>
  <cols>
    <col min="1" max="38" width="4.1796875" style="75" customWidth="1"/>
    <col min="39" max="16384" width="9.1796875" style="75"/>
  </cols>
  <sheetData>
    <row r="1" spans="1:38" s="348" customFormat="1" ht="18" customHeight="1">
      <c r="A1" s="1171" t="s">
        <v>351</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72"/>
      <c r="AK1" s="1173">
        <f>CoverPage!B11</f>
        <v>44471</v>
      </c>
      <c r="AL1" s="1174"/>
    </row>
    <row r="2" spans="1:38" s="348" customFormat="1" ht="18" customHeight="1">
      <c r="A2" s="1138" t="s">
        <v>352</v>
      </c>
      <c r="B2" s="1139"/>
      <c r="C2" s="1139"/>
      <c r="D2" s="1139"/>
      <c r="E2" s="1139"/>
      <c r="F2" s="1139"/>
      <c r="G2" s="1139"/>
      <c r="H2" s="1139"/>
      <c r="I2" s="1139"/>
      <c r="J2" s="1139"/>
      <c r="K2" s="1139"/>
      <c r="L2" s="1139"/>
      <c r="M2" s="1139"/>
      <c r="N2" s="1139"/>
      <c r="O2" s="1139"/>
      <c r="P2" s="1139"/>
      <c r="Q2" s="1139"/>
      <c r="R2" s="1139"/>
      <c r="S2" s="1139"/>
      <c r="T2" s="1139"/>
      <c r="U2" s="1139"/>
      <c r="V2" s="1139"/>
      <c r="W2" s="1139"/>
      <c r="X2" s="1139"/>
      <c r="Y2" s="1139"/>
      <c r="Z2" s="1139"/>
      <c r="AA2" s="1139"/>
      <c r="AB2" s="1139"/>
      <c r="AC2" s="1139"/>
      <c r="AD2" s="1139"/>
      <c r="AE2" s="1139"/>
      <c r="AF2" s="1139"/>
      <c r="AG2" s="1139"/>
      <c r="AH2" s="1139"/>
      <c r="AI2" s="1139"/>
      <c r="AJ2" s="1139"/>
      <c r="AK2" s="1139"/>
      <c r="AL2" s="1140"/>
    </row>
    <row r="3" spans="1:38" s="76" customFormat="1" ht="30" customHeight="1">
      <c r="A3" s="1175" t="s">
        <v>353</v>
      </c>
      <c r="B3" s="1176"/>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c r="AD3" s="1176"/>
      <c r="AE3" s="1176"/>
      <c r="AF3" s="1176"/>
      <c r="AG3" s="1176"/>
      <c r="AH3" s="1176"/>
      <c r="AI3" s="1176"/>
      <c r="AJ3" s="1176"/>
      <c r="AK3" s="1176"/>
      <c r="AL3" s="1177"/>
    </row>
    <row r="4" spans="1:38" s="348" customFormat="1" ht="18" customHeight="1">
      <c r="A4" s="1138" t="s">
        <v>354</v>
      </c>
      <c r="B4" s="1139"/>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39"/>
      <c r="AD4" s="1139"/>
      <c r="AE4" s="1139"/>
      <c r="AF4" s="1139"/>
      <c r="AG4" s="1139"/>
      <c r="AH4" s="1139"/>
      <c r="AI4" s="1139"/>
      <c r="AJ4" s="1139"/>
      <c r="AK4" s="1139"/>
      <c r="AL4" s="1140"/>
    </row>
    <row r="5" spans="1:38" s="350" customFormat="1" ht="60" customHeight="1">
      <c r="A5" s="1168" t="s">
        <v>355</v>
      </c>
      <c r="B5" s="1169"/>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c r="AL5" s="1170"/>
    </row>
    <row r="6" spans="1:38" s="358" customFormat="1" ht="18" customHeight="1">
      <c r="A6" s="1181" t="s">
        <v>356</v>
      </c>
      <c r="B6" s="1182"/>
      <c r="C6" s="1182"/>
      <c r="D6" s="1182"/>
      <c r="E6" s="1182"/>
      <c r="F6" s="1182"/>
      <c r="G6" s="1182"/>
      <c r="H6" s="1182"/>
      <c r="I6" s="1182"/>
      <c r="J6" s="1182"/>
      <c r="K6" s="1182"/>
      <c r="L6" s="1182"/>
      <c r="M6" s="1182"/>
      <c r="N6" s="1182"/>
      <c r="O6" s="1182"/>
      <c r="P6" s="1182"/>
      <c r="Q6" s="1182"/>
      <c r="R6" s="1182"/>
      <c r="S6" s="1182"/>
      <c r="T6" s="1182"/>
      <c r="U6" s="1182"/>
      <c r="V6" s="1182"/>
      <c r="W6" s="1182"/>
      <c r="X6" s="1182"/>
      <c r="Y6" s="1182"/>
      <c r="Z6" s="1182"/>
      <c r="AA6" s="1182"/>
      <c r="AB6" s="1182"/>
      <c r="AC6" s="1182"/>
      <c r="AD6" s="1182"/>
      <c r="AE6" s="1182"/>
      <c r="AF6" s="1182"/>
      <c r="AG6" s="1182"/>
      <c r="AH6" s="1182"/>
      <c r="AI6" s="1182"/>
      <c r="AJ6" s="1182"/>
      <c r="AK6" s="1182"/>
      <c r="AL6" s="1183"/>
    </row>
    <row r="7" spans="1:38" s="348" customFormat="1" ht="18" customHeight="1">
      <c r="A7" s="1138" t="s">
        <v>357</v>
      </c>
      <c r="B7" s="1139"/>
      <c r="C7" s="1139"/>
      <c r="D7" s="1139"/>
      <c r="E7" s="1139"/>
      <c r="F7" s="1139"/>
      <c r="G7" s="1139"/>
      <c r="H7" s="1139"/>
      <c r="I7" s="1139"/>
      <c r="J7" s="1139"/>
      <c r="K7" s="1139"/>
      <c r="L7" s="1139"/>
      <c r="M7" s="1139"/>
      <c r="N7" s="1139"/>
      <c r="O7" s="1139"/>
      <c r="P7" s="1139"/>
      <c r="Q7" s="1139"/>
      <c r="R7" s="1139"/>
      <c r="S7" s="1139"/>
      <c r="T7" s="1139"/>
      <c r="U7" s="1139"/>
      <c r="V7" s="1139"/>
      <c r="W7" s="1139"/>
      <c r="X7" s="1139"/>
      <c r="Y7" s="1139"/>
      <c r="Z7" s="1139"/>
      <c r="AA7" s="1139"/>
      <c r="AB7" s="1139"/>
      <c r="AC7" s="1139"/>
      <c r="AD7" s="1139"/>
      <c r="AE7" s="1139"/>
      <c r="AF7" s="1139"/>
      <c r="AG7" s="1139"/>
      <c r="AH7" s="1139"/>
      <c r="AI7" s="1139"/>
      <c r="AJ7" s="1139"/>
      <c r="AK7" s="1139"/>
      <c r="AL7" s="1140"/>
    </row>
    <row r="8" spans="1:38" s="358" customFormat="1" ht="15" customHeight="1">
      <c r="A8" s="1193" t="s">
        <v>358</v>
      </c>
      <c r="B8" s="1194"/>
      <c r="C8" s="1194"/>
      <c r="D8" s="1194"/>
      <c r="E8" s="1194"/>
      <c r="F8" s="1194"/>
      <c r="G8" s="1194"/>
      <c r="H8" s="1194"/>
      <c r="I8" s="1194"/>
      <c r="J8" s="1194"/>
      <c r="K8" s="1194"/>
      <c r="L8" s="1194"/>
      <c r="M8" s="1194"/>
      <c r="N8" s="1194"/>
      <c r="O8" s="1194"/>
      <c r="P8" s="1194"/>
      <c r="Q8" s="1194"/>
      <c r="R8" s="1194"/>
      <c r="S8" s="1194"/>
      <c r="T8" s="1194"/>
      <c r="U8" s="1194"/>
      <c r="V8" s="1194"/>
      <c r="W8" s="1194"/>
      <c r="X8" s="1194"/>
      <c r="Y8" s="1194"/>
      <c r="Z8" s="1194"/>
      <c r="AA8" s="1194"/>
      <c r="AB8" s="1194"/>
      <c r="AC8" s="1194"/>
      <c r="AD8" s="1194"/>
      <c r="AE8" s="1194"/>
      <c r="AF8" s="1194"/>
      <c r="AG8" s="1194"/>
      <c r="AH8" s="1194"/>
      <c r="AI8" s="1194"/>
      <c r="AJ8" s="1194"/>
      <c r="AK8" s="1194"/>
      <c r="AL8" s="1195"/>
    </row>
    <row r="9" spans="1:38" s="358" customFormat="1" ht="15" customHeight="1">
      <c r="A9" s="1196" t="s">
        <v>359</v>
      </c>
      <c r="B9" s="1197"/>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7"/>
      <c r="AL9" s="1198"/>
    </row>
    <row r="10" spans="1:38" s="359" customFormat="1" ht="15" customHeight="1">
      <c r="A10" s="1199" t="s">
        <v>360</v>
      </c>
      <c r="B10" s="1200"/>
      <c r="C10" s="1200"/>
      <c r="D10" s="1200"/>
      <c r="E10" s="1200"/>
      <c r="F10" s="1200"/>
      <c r="G10" s="1200"/>
      <c r="H10" s="1200"/>
      <c r="I10" s="1200"/>
      <c r="J10" s="1200"/>
      <c r="K10" s="1200"/>
      <c r="L10" s="1200"/>
      <c r="M10" s="1200"/>
      <c r="N10" s="1200"/>
      <c r="O10" s="1200"/>
      <c r="P10" s="1200"/>
      <c r="Q10" s="1200"/>
      <c r="R10" s="1200"/>
      <c r="S10" s="1200"/>
      <c r="T10" s="1200"/>
      <c r="U10" s="1200"/>
      <c r="V10" s="1200"/>
      <c r="W10" s="1200"/>
      <c r="X10" s="1200"/>
      <c r="Y10" s="1200"/>
      <c r="Z10" s="1200"/>
      <c r="AA10" s="1200"/>
      <c r="AB10" s="1200"/>
      <c r="AC10" s="1200"/>
      <c r="AD10" s="1200"/>
      <c r="AE10" s="1200"/>
      <c r="AF10" s="1200"/>
      <c r="AG10" s="1200"/>
      <c r="AH10" s="1200"/>
      <c r="AI10" s="1200"/>
      <c r="AJ10" s="1200"/>
      <c r="AK10" s="1200"/>
      <c r="AL10" s="1201"/>
    </row>
    <row r="11" spans="1:38" s="359" customFormat="1" ht="130.5" customHeight="1">
      <c r="A11" s="1202" t="s">
        <v>361</v>
      </c>
      <c r="B11" s="1203"/>
      <c r="C11" s="1203"/>
      <c r="D11" s="1203"/>
      <c r="E11" s="1203"/>
      <c r="F11" s="1203"/>
      <c r="G11" s="1203"/>
      <c r="H11" s="1203"/>
      <c r="I11" s="1203"/>
      <c r="J11" s="1203"/>
      <c r="K11" s="1203"/>
      <c r="L11" s="1203"/>
      <c r="M11" s="1203"/>
      <c r="N11" s="1203"/>
      <c r="O11" s="1203"/>
      <c r="P11" s="1203"/>
      <c r="Q11" s="1203"/>
      <c r="R11" s="1203"/>
      <c r="S11" s="1203"/>
      <c r="T11" s="1203"/>
      <c r="U11" s="1203"/>
      <c r="V11" s="1203"/>
      <c r="W11" s="1203"/>
      <c r="X11" s="1203"/>
      <c r="Y11" s="1203"/>
      <c r="Z11" s="1203"/>
      <c r="AA11" s="1203"/>
      <c r="AB11" s="1203"/>
      <c r="AC11" s="1203"/>
      <c r="AD11" s="1203"/>
      <c r="AE11" s="1203"/>
      <c r="AF11" s="1203"/>
      <c r="AG11" s="1203"/>
      <c r="AH11" s="1203"/>
      <c r="AI11" s="1203"/>
      <c r="AJ11" s="1203"/>
      <c r="AK11" s="1203"/>
      <c r="AL11" s="1204"/>
    </row>
    <row r="12" spans="1:38" s="359" customFormat="1" ht="18" customHeight="1">
      <c r="A12" s="1184" t="s">
        <v>362</v>
      </c>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J12" s="1185"/>
      <c r="AK12" s="1185"/>
      <c r="AL12" s="1186"/>
    </row>
    <row r="13" spans="1:38" s="348" customFormat="1" ht="18" customHeight="1">
      <c r="A13" s="1138" t="s">
        <v>363</v>
      </c>
      <c r="B13" s="1139"/>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39"/>
      <c r="AE13" s="1139"/>
      <c r="AF13" s="1139"/>
      <c r="AG13" s="1139"/>
      <c r="AH13" s="1139"/>
      <c r="AI13" s="1139"/>
      <c r="AJ13" s="1139"/>
      <c r="AK13" s="1139"/>
      <c r="AL13" s="1140"/>
    </row>
    <row r="14" spans="1:38" s="358" customFormat="1" ht="15" customHeight="1">
      <c r="A14" s="1187" t="s">
        <v>364</v>
      </c>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8"/>
      <c r="AH14" s="1188"/>
      <c r="AI14" s="1188"/>
      <c r="AJ14" s="1188"/>
      <c r="AK14" s="1188"/>
      <c r="AL14" s="1189"/>
    </row>
    <row r="15" spans="1:38" s="348" customFormat="1" ht="18" customHeight="1">
      <c r="A15" s="1138" t="s">
        <v>365</v>
      </c>
      <c r="B15" s="1139"/>
      <c r="C15" s="1139"/>
      <c r="D15" s="1139"/>
      <c r="E15" s="1139"/>
      <c r="F15" s="1139"/>
      <c r="G15" s="1139"/>
      <c r="H15" s="1139"/>
      <c r="I15" s="1139"/>
      <c r="J15" s="1139"/>
      <c r="K15" s="1139"/>
      <c r="L15" s="1139"/>
      <c r="M15" s="1139"/>
      <c r="N15" s="1139"/>
      <c r="O15" s="1139"/>
      <c r="P15" s="1139"/>
      <c r="Q15" s="1139"/>
      <c r="R15" s="1139"/>
      <c r="S15" s="1139"/>
      <c r="T15" s="1139"/>
      <c r="U15" s="1139"/>
      <c r="V15" s="1139"/>
      <c r="W15" s="1139"/>
      <c r="X15" s="1139"/>
      <c r="Y15" s="1139"/>
      <c r="Z15" s="1139"/>
      <c r="AA15" s="1139"/>
      <c r="AB15" s="1139"/>
      <c r="AC15" s="1139"/>
      <c r="AD15" s="1139"/>
      <c r="AE15" s="1139"/>
      <c r="AF15" s="1139"/>
      <c r="AG15" s="1139"/>
      <c r="AH15" s="1139"/>
      <c r="AI15" s="1139"/>
      <c r="AJ15" s="1139"/>
      <c r="AK15" s="1139"/>
      <c r="AL15" s="1140"/>
    </row>
    <row r="16" spans="1:38" s="76" customFormat="1" ht="15" customHeight="1">
      <c r="A16" s="1190" t="s">
        <v>366</v>
      </c>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c r="AJ16" s="1191"/>
      <c r="AK16" s="1191"/>
      <c r="AL16" s="1192"/>
    </row>
    <row r="17" spans="1:38" s="348" customFormat="1" ht="18" customHeight="1">
      <c r="A17" s="1138" t="s">
        <v>367</v>
      </c>
      <c r="B17" s="1139"/>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40"/>
    </row>
    <row r="18" spans="1:38" s="76" customFormat="1" ht="18" customHeight="1" thickBot="1">
      <c r="A18" s="1178" t="s">
        <v>368</v>
      </c>
      <c r="B18" s="1179"/>
      <c r="C18" s="1179"/>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79"/>
      <c r="AI18" s="1179"/>
      <c r="AJ18" s="1179"/>
      <c r="AK18" s="1179"/>
      <c r="AL18" s="1180"/>
    </row>
  </sheetData>
  <sheetProtection algorithmName="SHA-512" hashValue="qiGYGbpOsuYWPLlkepyx68hnX0Fe2oSR0q5nsSC86UJP3y84I3OxULKMQJsXxEEpVH0U6BTw/DKzVmaYwWiETA==" saltValue="6sLasBTnXBkYYi9Nx8P+TQ==" spinCount="100000" sheet="1" objects="1" scenarios="1"/>
  <mergeCells count="19">
    <mergeCell ref="A18:AL18"/>
    <mergeCell ref="A6:AL6"/>
    <mergeCell ref="A12:AL12"/>
    <mergeCell ref="A13:AL13"/>
    <mergeCell ref="A14:AL14"/>
    <mergeCell ref="A15:AL15"/>
    <mergeCell ref="A16:AL16"/>
    <mergeCell ref="A17:AL17"/>
    <mergeCell ref="A7:AL7"/>
    <mergeCell ref="A8:AL8"/>
    <mergeCell ref="A9:AL9"/>
    <mergeCell ref="A10:AL10"/>
    <mergeCell ref="A11:AL11"/>
    <mergeCell ref="A5:AL5"/>
    <mergeCell ref="A1:AJ1"/>
    <mergeCell ref="AK1:AL1"/>
    <mergeCell ref="A2:AL2"/>
    <mergeCell ref="A3:AL3"/>
    <mergeCell ref="A4:AL4"/>
  </mergeCells>
  <hyperlinks>
    <hyperlink ref="A12" r:id="rId1" display="http://www.sos.ca.gov/business-programs/business-entities/forms" xr:uid="{91DFA69E-19FD-4E71-BD3E-690DB2BB41A6}"/>
    <hyperlink ref="A6:AG6" r:id="rId2" display="A resolution is required of each Joint Applicant - both private and public entities.  A sample resolution template is available on AHSC website. " xr:uid="{7922D297-4C4C-4D99-B533-04D17D116AB2}"/>
    <hyperlink ref="A18:AL18" r:id="rId3" display="The TIN must be submitted by all governmental entity Applicants. All other Applicants must submit the STD-204 Payee Data Record. Available on the Homekey website." xr:uid="{A41CB64F-BEA9-43FF-A60D-AD5669D70A39}"/>
    <hyperlink ref="A6:AL6" r:id="rId4" display="A resolution is required of each Joint Applicant - both private and public entities.  A sample resolution template is available on the Homekey website. " xr:uid="{0A6EE884-3964-4B8E-8D95-DA79B8ADC1C4}"/>
  </hyperlinks>
  <printOptions horizontalCentered="1"/>
  <pageMargins left="0.25" right="0.25" top="0.5" bottom="0.3" header="0" footer="0"/>
  <pageSetup scale="65" orientation="portrait" r:id="rId5"/>
  <headerFooter scaleWithDoc="0" alignWithMargins="0">
    <oddFooter>&amp;L&amp;9Homekey Round 2&amp;C&amp;9Page &amp;P of &amp;N&amp;R&amp;"Arial,Italic"&amp;9&amp;A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30D80-3906-4F7B-8028-153AA1D2E8E0}">
  <sheetPr codeName="Sheet4">
    <tabColor theme="4" tint="-0.249977111117893"/>
    <pageSetUpPr fitToPage="1"/>
  </sheetPr>
  <dimension ref="A1:AM160"/>
  <sheetViews>
    <sheetView showGridLines="0" zoomScaleNormal="100" workbookViewId="0">
      <selection activeCell="A4" sqref="A4:D4"/>
    </sheetView>
  </sheetViews>
  <sheetFormatPr defaultColWidth="4.1796875" defaultRowHeight="14.5"/>
  <cols>
    <col min="1" max="1" width="2.81640625" style="395" customWidth="1"/>
    <col min="2" max="2" width="6.26953125" style="395" customWidth="1"/>
    <col min="3" max="6" width="3.7265625" style="395" customWidth="1"/>
    <col min="7" max="7" width="4.7265625" style="395" customWidth="1"/>
    <col min="8" max="8" width="6.54296875" style="395" customWidth="1"/>
    <col min="9" max="10" width="4.54296875" style="395" customWidth="1"/>
    <col min="11" max="11" width="3.7265625" style="395" customWidth="1"/>
    <col min="12" max="12" width="4.26953125" style="395" customWidth="1"/>
    <col min="13" max="14" width="3.7265625" style="395" customWidth="1"/>
    <col min="15" max="15" width="7.7265625" style="395" customWidth="1"/>
    <col min="16" max="16" width="3.7265625" style="395" customWidth="1"/>
    <col min="17" max="17" width="4.26953125" style="395" customWidth="1"/>
    <col min="18" max="18" width="4.7265625" style="395" customWidth="1"/>
    <col min="19" max="19" width="3.7265625" style="395" customWidth="1"/>
    <col min="20" max="20" width="4.54296875" style="395" customWidth="1"/>
    <col min="21" max="21" width="3.7265625" style="395" customWidth="1"/>
    <col min="22" max="22" width="4.26953125" style="395" customWidth="1"/>
    <col min="23" max="24" width="3.7265625" style="395" customWidth="1"/>
    <col min="25" max="25" width="4.54296875" style="395" customWidth="1"/>
    <col min="26" max="26" width="3.7265625" style="395" customWidth="1"/>
    <col min="27" max="27" width="4.26953125" style="395" customWidth="1"/>
    <col min="28" max="38" width="4.1796875" style="395"/>
    <col min="39" max="39" width="9.81640625" style="395" hidden="1" customWidth="1"/>
    <col min="40" max="40" width="0" style="395" hidden="1" customWidth="1"/>
    <col min="41" max="41" width="3" style="395" customWidth="1"/>
    <col min="42" max="16384" width="4.1796875" style="395"/>
  </cols>
  <sheetData>
    <row r="1" spans="1:39" ht="18" customHeight="1" thickBot="1">
      <c r="A1" s="1205" t="s">
        <v>369</v>
      </c>
      <c r="B1" s="1206"/>
      <c r="C1" s="1206"/>
      <c r="D1" s="1206"/>
      <c r="E1" s="1206"/>
      <c r="F1" s="1206"/>
      <c r="G1" s="1206"/>
      <c r="H1" s="1206"/>
      <c r="I1" s="1206"/>
      <c r="J1" s="1206"/>
      <c r="K1" s="1206"/>
      <c r="L1" s="1206"/>
      <c r="M1" s="1206"/>
      <c r="N1" s="1206"/>
      <c r="O1" s="1206"/>
      <c r="P1" s="1206"/>
      <c r="Q1" s="1206"/>
      <c r="R1" s="1206"/>
      <c r="S1" s="1206"/>
      <c r="T1" s="1206"/>
      <c r="U1" s="1206"/>
      <c r="V1" s="1206"/>
      <c r="W1" s="1206"/>
      <c r="X1" s="1206"/>
      <c r="Y1" s="1206"/>
      <c r="Z1" s="1206"/>
      <c r="AA1" s="1206"/>
      <c r="AB1" s="1206"/>
      <c r="AC1" s="1206"/>
      <c r="AD1" s="1206"/>
      <c r="AE1" s="1206"/>
      <c r="AF1" s="1206"/>
      <c r="AG1" s="1206"/>
      <c r="AH1" s="1206"/>
      <c r="AI1" s="1206"/>
      <c r="AJ1" s="705">
        <f>CoverPage!B11</f>
        <v>44471</v>
      </c>
      <c r="AK1" s="706"/>
      <c r="AL1" s="707"/>
    </row>
    <row r="2" spans="1:39" s="26" customFormat="1" ht="30" customHeight="1">
      <c r="A2" s="1202" t="s">
        <v>370</v>
      </c>
      <c r="B2" s="1218"/>
      <c r="C2" s="1218"/>
      <c r="D2" s="1218"/>
      <c r="E2" s="1218"/>
      <c r="F2" s="1218"/>
      <c r="G2" s="1218"/>
      <c r="H2" s="1218"/>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8"/>
      <c r="AI2" s="1218"/>
      <c r="AJ2" s="1218"/>
      <c r="AK2" s="1218"/>
      <c r="AL2" s="1204"/>
      <c r="AM2" s="34" t="s">
        <v>371</v>
      </c>
    </row>
    <row r="3" spans="1:39" s="35" customFormat="1" ht="15" customHeight="1">
      <c r="A3" s="1209" t="s">
        <v>372</v>
      </c>
      <c r="B3" s="1210"/>
      <c r="C3" s="1210"/>
      <c r="D3" s="1210"/>
      <c r="E3" s="1211" t="s">
        <v>373</v>
      </c>
      <c r="F3" s="1211"/>
      <c r="G3" s="1211"/>
      <c r="H3" s="1211"/>
      <c r="I3" s="1211"/>
      <c r="J3" s="1211"/>
      <c r="K3" s="1211"/>
      <c r="L3" s="1211"/>
      <c r="M3" s="1211"/>
      <c r="N3" s="1211"/>
      <c r="O3" s="1211"/>
      <c r="P3" s="1211"/>
      <c r="Q3" s="1211"/>
      <c r="R3" s="1211"/>
      <c r="S3" s="1211"/>
      <c r="T3" s="1211"/>
      <c r="U3" s="1211"/>
      <c r="V3" s="1211"/>
      <c r="W3" s="1211"/>
      <c r="X3" s="1211"/>
      <c r="Y3" s="1211"/>
      <c r="Z3" s="1211"/>
      <c r="AA3" s="1211"/>
      <c r="AB3" s="1211"/>
      <c r="AC3" s="1211"/>
      <c r="AD3" s="1211"/>
      <c r="AE3" s="1211"/>
      <c r="AF3" s="1211"/>
      <c r="AG3" s="1211"/>
      <c r="AH3" s="1211"/>
      <c r="AI3" s="1211"/>
      <c r="AJ3" s="1211"/>
      <c r="AK3" s="1211"/>
      <c r="AL3" s="1212"/>
      <c r="AM3" s="34" t="s">
        <v>374</v>
      </c>
    </row>
    <row r="4" spans="1:39" s="35" customFormat="1" ht="15" customHeight="1">
      <c r="A4" s="1213"/>
      <c r="B4" s="1214"/>
      <c r="C4" s="1214"/>
      <c r="D4" s="1214"/>
      <c r="E4" s="1207" t="s">
        <v>375</v>
      </c>
      <c r="F4" s="1207"/>
      <c r="G4" s="1207"/>
      <c r="H4" s="1207"/>
      <c r="I4" s="1207"/>
      <c r="J4" s="1207"/>
      <c r="K4" s="1207"/>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7"/>
      <c r="AJ4" s="1207"/>
      <c r="AK4" s="1207"/>
      <c r="AL4" s="1208"/>
      <c r="AM4" s="34" t="s">
        <v>376</v>
      </c>
    </row>
    <row r="5" spans="1:39" s="35" customFormat="1" ht="15" customHeight="1">
      <c r="A5" s="1213"/>
      <c r="B5" s="1214"/>
      <c r="C5" s="1214"/>
      <c r="D5" s="1214"/>
      <c r="E5" s="1207" t="s">
        <v>377</v>
      </c>
      <c r="F5" s="1207"/>
      <c r="G5" s="1207"/>
      <c r="H5" s="1207"/>
      <c r="I5" s="1207"/>
      <c r="J5" s="1207"/>
      <c r="K5" s="1207"/>
      <c r="L5" s="1207"/>
      <c r="M5" s="1207"/>
      <c r="N5" s="1207"/>
      <c r="O5" s="1207"/>
      <c r="P5" s="1207"/>
      <c r="Q5" s="1207"/>
      <c r="R5" s="1207"/>
      <c r="S5" s="1207"/>
      <c r="T5" s="1207"/>
      <c r="U5" s="1207"/>
      <c r="V5" s="1207"/>
      <c r="W5" s="1207"/>
      <c r="X5" s="1207"/>
      <c r="Y5" s="1207"/>
      <c r="Z5" s="1207"/>
      <c r="AA5" s="1207"/>
      <c r="AB5" s="1207"/>
      <c r="AC5" s="1207"/>
      <c r="AD5" s="1207"/>
      <c r="AE5" s="1207"/>
      <c r="AF5" s="1207"/>
      <c r="AG5" s="1207"/>
      <c r="AH5" s="1207"/>
      <c r="AI5" s="1207"/>
      <c r="AJ5" s="1207"/>
      <c r="AK5" s="1207"/>
      <c r="AL5" s="1208"/>
      <c r="AM5" s="34"/>
    </row>
    <row r="6" spans="1:39" s="35" customFormat="1" ht="15" customHeight="1">
      <c r="A6" s="1213"/>
      <c r="B6" s="1214"/>
      <c r="C6" s="1214"/>
      <c r="D6" s="1214"/>
      <c r="E6" s="1207" t="s">
        <v>378</v>
      </c>
      <c r="F6" s="1207"/>
      <c r="G6" s="1207"/>
      <c r="H6" s="1207"/>
      <c r="I6" s="1207"/>
      <c r="J6" s="1207"/>
      <c r="K6" s="1207"/>
      <c r="L6" s="1207"/>
      <c r="M6" s="1207"/>
      <c r="N6" s="1207"/>
      <c r="O6" s="1207"/>
      <c r="P6" s="1207"/>
      <c r="Q6" s="1207"/>
      <c r="R6" s="1207"/>
      <c r="S6" s="1207"/>
      <c r="T6" s="1207"/>
      <c r="U6" s="1207"/>
      <c r="V6" s="1207"/>
      <c r="W6" s="1207"/>
      <c r="X6" s="1207"/>
      <c r="Y6" s="1207"/>
      <c r="Z6" s="1207"/>
      <c r="AA6" s="1207"/>
      <c r="AB6" s="1207"/>
      <c r="AC6" s="1207"/>
      <c r="AD6" s="1207"/>
      <c r="AE6" s="1207"/>
      <c r="AF6" s="1207"/>
      <c r="AG6" s="1207"/>
      <c r="AH6" s="1207"/>
      <c r="AI6" s="1207"/>
      <c r="AJ6" s="1207"/>
      <c r="AK6" s="1207"/>
      <c r="AL6" s="1208"/>
      <c r="AM6" s="34"/>
    </row>
    <row r="7" spans="1:39" s="35" customFormat="1" ht="15" customHeight="1">
      <c r="A7" s="1209" t="s">
        <v>379</v>
      </c>
      <c r="B7" s="1210"/>
      <c r="C7" s="1210"/>
      <c r="D7" s="1210"/>
      <c r="E7" s="1215" t="s">
        <v>380</v>
      </c>
      <c r="F7" s="1216"/>
      <c r="G7" s="1216"/>
      <c r="H7" s="1216"/>
      <c r="I7" s="1216"/>
      <c r="J7" s="1216"/>
      <c r="K7" s="1216"/>
      <c r="L7" s="1216"/>
      <c r="M7" s="1216"/>
      <c r="N7" s="1216"/>
      <c r="O7" s="1216"/>
      <c r="P7" s="1216"/>
      <c r="Q7" s="1216"/>
      <c r="R7" s="1216"/>
      <c r="S7" s="1216"/>
      <c r="T7" s="1216"/>
      <c r="U7" s="1216"/>
      <c r="V7" s="1216"/>
      <c r="W7" s="1216"/>
      <c r="X7" s="1216"/>
      <c r="Y7" s="1216"/>
      <c r="Z7" s="1216"/>
      <c r="AA7" s="1216"/>
      <c r="AB7" s="1216"/>
      <c r="AC7" s="1216"/>
      <c r="AD7" s="1216"/>
      <c r="AE7" s="1216"/>
      <c r="AF7" s="1216"/>
      <c r="AG7" s="1216"/>
      <c r="AH7" s="1216"/>
      <c r="AI7" s="1216"/>
      <c r="AJ7" s="1216"/>
      <c r="AK7" s="1216"/>
      <c r="AL7" s="1217"/>
      <c r="AM7" s="34" t="s">
        <v>381</v>
      </c>
    </row>
    <row r="8" spans="1:39" s="35" customFormat="1" ht="15" customHeight="1">
      <c r="A8" s="1213"/>
      <c r="B8" s="1214"/>
      <c r="C8" s="1214"/>
      <c r="D8" s="1214"/>
      <c r="E8" s="1219" t="s">
        <v>382</v>
      </c>
      <c r="F8" s="1219"/>
      <c r="G8" s="1219"/>
      <c r="H8" s="1219"/>
      <c r="I8" s="1219"/>
      <c r="J8" s="1219"/>
      <c r="K8" s="1219"/>
      <c r="L8" s="1219"/>
      <c r="M8" s="1219"/>
      <c r="N8" s="1219"/>
      <c r="O8" s="1219"/>
      <c r="P8" s="1219"/>
      <c r="Q8" s="1219"/>
      <c r="R8" s="1219"/>
      <c r="S8" s="1219"/>
      <c r="T8" s="1219"/>
      <c r="U8" s="1219"/>
      <c r="V8" s="1219"/>
      <c r="W8" s="1219"/>
      <c r="X8" s="1219"/>
      <c r="Y8" s="1219"/>
      <c r="Z8" s="1219"/>
      <c r="AA8" s="1219"/>
      <c r="AB8" s="1219"/>
      <c r="AC8" s="1219"/>
      <c r="AD8" s="1219"/>
      <c r="AE8" s="1219"/>
      <c r="AF8" s="1219"/>
      <c r="AG8" s="1219"/>
      <c r="AH8" s="1219"/>
      <c r="AI8" s="1219"/>
      <c r="AJ8" s="1219"/>
      <c r="AK8" s="1219"/>
      <c r="AL8" s="1220"/>
      <c r="AM8" s="34" t="s">
        <v>383</v>
      </c>
    </row>
    <row r="9" spans="1:39" s="35" customFormat="1" ht="15" customHeight="1">
      <c r="A9" s="1213"/>
      <c r="B9" s="1214"/>
      <c r="C9" s="1214"/>
      <c r="D9" s="1214"/>
      <c r="E9" s="1207" t="s">
        <v>384</v>
      </c>
      <c r="F9" s="1207"/>
      <c r="G9" s="1207"/>
      <c r="H9" s="1207"/>
      <c r="I9" s="1207"/>
      <c r="J9" s="1207"/>
      <c r="K9" s="1207"/>
      <c r="L9" s="1207"/>
      <c r="M9" s="1207"/>
      <c r="N9" s="1207"/>
      <c r="O9" s="1207"/>
      <c r="P9" s="1207"/>
      <c r="Q9" s="1207"/>
      <c r="R9" s="1207"/>
      <c r="S9" s="1207"/>
      <c r="T9" s="1207"/>
      <c r="U9" s="1207"/>
      <c r="V9" s="1207"/>
      <c r="W9" s="1207"/>
      <c r="X9" s="1207"/>
      <c r="Y9" s="1207"/>
      <c r="Z9" s="1207"/>
      <c r="AA9" s="1207"/>
      <c r="AB9" s="1207"/>
      <c r="AC9" s="1207"/>
      <c r="AD9" s="1207"/>
      <c r="AE9" s="1207"/>
      <c r="AF9" s="1207"/>
      <c r="AG9" s="1207"/>
      <c r="AH9" s="1207"/>
      <c r="AI9" s="1207"/>
      <c r="AJ9" s="1207"/>
      <c r="AK9" s="1207"/>
      <c r="AL9" s="1208"/>
      <c r="AM9" s="34" t="s">
        <v>385</v>
      </c>
    </row>
    <row r="10" spans="1:39" s="35" customFormat="1" ht="15" customHeight="1">
      <c r="A10" s="1213"/>
      <c r="B10" s="1214"/>
      <c r="C10" s="1214"/>
      <c r="D10" s="1214"/>
      <c r="E10" s="1207" t="s">
        <v>386</v>
      </c>
      <c r="F10" s="1207"/>
      <c r="G10" s="1207"/>
      <c r="H10" s="1207"/>
      <c r="I10" s="1207"/>
      <c r="J10" s="1207"/>
      <c r="K10" s="1207"/>
      <c r="L10" s="1207"/>
      <c r="M10" s="1207"/>
      <c r="N10" s="1207"/>
      <c r="O10" s="1207"/>
      <c r="P10" s="1207"/>
      <c r="Q10" s="1207"/>
      <c r="R10" s="1207"/>
      <c r="S10" s="1207"/>
      <c r="T10" s="1207"/>
      <c r="U10" s="1207"/>
      <c r="V10" s="1207"/>
      <c r="W10" s="1207"/>
      <c r="X10" s="1207"/>
      <c r="Y10" s="1207"/>
      <c r="Z10" s="1207"/>
      <c r="AA10" s="1207"/>
      <c r="AB10" s="1207"/>
      <c r="AC10" s="1207"/>
      <c r="AD10" s="1207"/>
      <c r="AE10" s="1207"/>
      <c r="AF10" s="1207"/>
      <c r="AG10" s="1207"/>
      <c r="AH10" s="1207"/>
      <c r="AI10" s="1207"/>
      <c r="AJ10" s="1207"/>
      <c r="AK10" s="1207"/>
      <c r="AL10" s="1208"/>
      <c r="AM10" s="34"/>
    </row>
    <row r="11" spans="1:39" s="35" customFormat="1" ht="15" customHeight="1">
      <c r="A11" s="1209" t="s">
        <v>387</v>
      </c>
      <c r="B11" s="1210"/>
      <c r="C11" s="1210"/>
      <c r="D11" s="1210"/>
      <c r="E11" s="1211" t="s">
        <v>388</v>
      </c>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2"/>
      <c r="AM11" s="34" t="s">
        <v>389</v>
      </c>
    </row>
    <row r="12" spans="1:39" s="35" customFormat="1" ht="15" customHeight="1">
      <c r="A12" s="1224"/>
      <c r="B12" s="1225"/>
      <c r="C12" s="1225"/>
      <c r="D12" s="1226"/>
      <c r="E12" s="1207" t="s">
        <v>390</v>
      </c>
      <c r="F12" s="1207"/>
      <c r="G12" s="1207"/>
      <c r="H12" s="1207"/>
      <c r="I12" s="1207"/>
      <c r="J12" s="1207"/>
      <c r="K12" s="1207"/>
      <c r="L12" s="1207"/>
      <c r="M12" s="1207"/>
      <c r="N12" s="1207"/>
      <c r="O12" s="1207"/>
      <c r="P12" s="1207"/>
      <c r="Q12" s="1207"/>
      <c r="R12" s="1207"/>
      <c r="S12" s="1207"/>
      <c r="T12" s="1207"/>
      <c r="U12" s="1207"/>
      <c r="V12" s="1207"/>
      <c r="W12" s="1207"/>
      <c r="X12" s="1207"/>
      <c r="Y12" s="1207"/>
      <c r="Z12" s="1207"/>
      <c r="AA12" s="1207"/>
      <c r="AB12" s="1207"/>
      <c r="AC12" s="1207"/>
      <c r="AD12" s="1207"/>
      <c r="AE12" s="1207"/>
      <c r="AF12" s="1207"/>
      <c r="AG12" s="1207"/>
      <c r="AH12" s="1207"/>
      <c r="AI12" s="1207"/>
      <c r="AJ12" s="1207"/>
      <c r="AK12" s="1207"/>
      <c r="AL12" s="1208"/>
      <c r="AM12" s="34" t="s">
        <v>391</v>
      </c>
    </row>
    <row r="13" spans="1:39" s="35" customFormat="1" ht="15" customHeight="1">
      <c r="A13" s="1224"/>
      <c r="B13" s="1225"/>
      <c r="C13" s="1225"/>
      <c r="D13" s="1226"/>
      <c r="E13" s="1207" t="s">
        <v>392</v>
      </c>
      <c r="F13" s="1207"/>
      <c r="G13" s="1207"/>
      <c r="H13" s="1207"/>
      <c r="I13" s="1207"/>
      <c r="J13" s="1207"/>
      <c r="K13" s="1207"/>
      <c r="L13" s="1207"/>
      <c r="M13" s="1207"/>
      <c r="N13" s="1207"/>
      <c r="O13" s="1207"/>
      <c r="P13" s="1207"/>
      <c r="Q13" s="1207"/>
      <c r="R13" s="1207"/>
      <c r="S13" s="1207"/>
      <c r="T13" s="1207"/>
      <c r="U13" s="1207"/>
      <c r="V13" s="1207"/>
      <c r="W13" s="1207"/>
      <c r="X13" s="1207"/>
      <c r="Y13" s="1207"/>
      <c r="Z13" s="1207"/>
      <c r="AA13" s="1207"/>
      <c r="AB13" s="1207"/>
      <c r="AC13" s="1207"/>
      <c r="AD13" s="1207"/>
      <c r="AE13" s="1207"/>
      <c r="AF13" s="1207"/>
      <c r="AG13" s="1207"/>
      <c r="AH13" s="1207"/>
      <c r="AI13" s="1207"/>
      <c r="AJ13" s="1207"/>
      <c r="AK13" s="1207"/>
      <c r="AL13" s="1208"/>
      <c r="AM13" s="34" t="s">
        <v>393</v>
      </c>
    </row>
    <row r="14" spans="1:39" s="35" customFormat="1" ht="15" customHeight="1">
      <c r="A14" s="1224"/>
      <c r="B14" s="1225"/>
      <c r="C14" s="1225"/>
      <c r="D14" s="1226"/>
      <c r="E14" s="1207" t="s">
        <v>394</v>
      </c>
      <c r="F14" s="1207"/>
      <c r="G14" s="1207"/>
      <c r="H14" s="1207"/>
      <c r="I14" s="1207"/>
      <c r="J14" s="1207"/>
      <c r="K14" s="1207"/>
      <c r="L14" s="1207"/>
      <c r="M14" s="1207"/>
      <c r="N14" s="1207"/>
      <c r="O14" s="1207"/>
      <c r="P14" s="1207"/>
      <c r="Q14" s="1207"/>
      <c r="R14" s="1207"/>
      <c r="S14" s="1207"/>
      <c r="T14" s="1207"/>
      <c r="U14" s="1207"/>
      <c r="V14" s="1207"/>
      <c r="W14" s="1207"/>
      <c r="X14" s="1207"/>
      <c r="Y14" s="1207"/>
      <c r="Z14" s="1207"/>
      <c r="AA14" s="1207"/>
      <c r="AB14" s="1207"/>
      <c r="AC14" s="1207"/>
      <c r="AD14" s="1207"/>
      <c r="AE14" s="1207"/>
      <c r="AF14" s="1207"/>
      <c r="AG14" s="1207"/>
      <c r="AH14" s="1207"/>
      <c r="AI14" s="1207"/>
      <c r="AJ14" s="1207"/>
      <c r="AK14" s="1207"/>
      <c r="AL14" s="1208"/>
      <c r="AM14" s="34"/>
    </row>
    <row r="15" spans="1:39" s="35" customFormat="1" ht="15" customHeight="1">
      <c r="A15" s="1221" t="s">
        <v>395</v>
      </c>
      <c r="B15" s="1222"/>
      <c r="C15" s="1222"/>
      <c r="D15" s="1223"/>
      <c r="E15" s="1211" t="s">
        <v>396</v>
      </c>
      <c r="F15" s="1216"/>
      <c r="G15" s="1216"/>
      <c r="H15" s="1216"/>
      <c r="I15" s="1216"/>
      <c r="J15" s="1216"/>
      <c r="K15" s="1216"/>
      <c r="L15" s="1216"/>
      <c r="M15" s="1216"/>
      <c r="N15" s="1216"/>
      <c r="O15" s="1216"/>
      <c r="P15" s="1216"/>
      <c r="Q15" s="1216"/>
      <c r="R15" s="1216"/>
      <c r="S15" s="1216"/>
      <c r="T15" s="1216"/>
      <c r="U15" s="1216"/>
      <c r="V15" s="1216"/>
      <c r="W15" s="1216"/>
      <c r="X15" s="1216"/>
      <c r="Y15" s="1216"/>
      <c r="Z15" s="1216"/>
      <c r="AA15" s="1216"/>
      <c r="AB15" s="1216"/>
      <c r="AC15" s="1216"/>
      <c r="AD15" s="1216"/>
      <c r="AE15" s="1216"/>
      <c r="AF15" s="1216"/>
      <c r="AG15" s="1216"/>
      <c r="AH15" s="1216"/>
      <c r="AI15" s="1216"/>
      <c r="AJ15" s="1216"/>
      <c r="AK15" s="1216"/>
      <c r="AL15" s="1217"/>
      <c r="AM15" s="34"/>
    </row>
    <row r="16" spans="1:39" s="35" customFormat="1" ht="15" customHeight="1">
      <c r="A16" s="1221" t="s">
        <v>397</v>
      </c>
      <c r="B16" s="1222"/>
      <c r="C16" s="1222"/>
      <c r="D16" s="1223"/>
      <c r="E16" s="1211" t="s">
        <v>398</v>
      </c>
      <c r="F16" s="1216"/>
      <c r="G16" s="1216"/>
      <c r="H16" s="1216"/>
      <c r="I16" s="1216"/>
      <c r="J16" s="1216"/>
      <c r="K16" s="1216"/>
      <c r="L16" s="1216"/>
      <c r="M16" s="1216"/>
      <c r="N16" s="1216"/>
      <c r="O16" s="1216"/>
      <c r="P16" s="1216"/>
      <c r="Q16" s="1216"/>
      <c r="R16" s="1216"/>
      <c r="S16" s="1216"/>
      <c r="T16" s="1216"/>
      <c r="U16" s="1216"/>
      <c r="V16" s="1216"/>
      <c r="W16" s="1216"/>
      <c r="X16" s="1216"/>
      <c r="Y16" s="1216"/>
      <c r="Z16" s="1216"/>
      <c r="AA16" s="1216"/>
      <c r="AB16" s="1216"/>
      <c r="AC16" s="1216"/>
      <c r="AD16" s="1216"/>
      <c r="AE16" s="1216"/>
      <c r="AF16" s="1216"/>
      <c r="AG16" s="1216"/>
      <c r="AH16" s="1216"/>
      <c r="AI16" s="1216"/>
      <c r="AJ16" s="1216"/>
      <c r="AK16" s="1216"/>
      <c r="AL16" s="1217"/>
      <c r="AM16" s="34"/>
    </row>
    <row r="17" spans="1:39" s="35" customFormat="1" ht="15" customHeight="1">
      <c r="A17" s="1213"/>
      <c r="B17" s="1214"/>
      <c r="C17" s="1214"/>
      <c r="D17" s="1214"/>
      <c r="E17" s="1207" t="s">
        <v>399</v>
      </c>
      <c r="F17" s="1207"/>
      <c r="G17" s="1207"/>
      <c r="H17" s="1207"/>
      <c r="I17" s="1207"/>
      <c r="J17" s="1207"/>
      <c r="K17" s="1207"/>
      <c r="L17" s="1207"/>
      <c r="M17" s="1207"/>
      <c r="N17" s="1207"/>
      <c r="O17" s="1207"/>
      <c r="P17" s="1207"/>
      <c r="Q17" s="1207"/>
      <c r="R17" s="1207"/>
      <c r="S17" s="1207"/>
      <c r="T17" s="1207"/>
      <c r="U17" s="1207"/>
      <c r="V17" s="1207"/>
      <c r="W17" s="1207"/>
      <c r="X17" s="1207"/>
      <c r="Y17" s="1207"/>
      <c r="Z17" s="1207"/>
      <c r="AA17" s="1207"/>
      <c r="AB17" s="1207"/>
      <c r="AC17" s="1207"/>
      <c r="AD17" s="1207"/>
      <c r="AE17" s="1207"/>
      <c r="AF17" s="1207"/>
      <c r="AG17" s="1207"/>
      <c r="AH17" s="1207"/>
      <c r="AI17" s="1207"/>
      <c r="AJ17" s="1207"/>
      <c r="AK17" s="1207"/>
      <c r="AL17" s="1208"/>
      <c r="AM17" s="34"/>
    </row>
    <row r="18" spans="1:39" s="35" customFormat="1" ht="15" customHeight="1">
      <c r="A18" s="1209" t="s">
        <v>400</v>
      </c>
      <c r="B18" s="1210"/>
      <c r="C18" s="1210"/>
      <c r="D18" s="1210"/>
      <c r="E18" s="1211" t="s">
        <v>401</v>
      </c>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2"/>
      <c r="AM18" s="34"/>
    </row>
    <row r="19" spans="1:39" s="35" customFormat="1" ht="15" customHeight="1">
      <c r="A19" s="1224"/>
      <c r="B19" s="1225"/>
      <c r="C19" s="1225"/>
      <c r="D19" s="1226"/>
      <c r="E19" s="1207" t="s">
        <v>402</v>
      </c>
      <c r="F19" s="1207"/>
      <c r="G19" s="1207"/>
      <c r="H19" s="1207"/>
      <c r="I19" s="1207"/>
      <c r="J19" s="1207"/>
      <c r="K19" s="1207"/>
      <c r="L19" s="1207"/>
      <c r="M19" s="1207"/>
      <c r="N19" s="1207"/>
      <c r="O19" s="1207"/>
      <c r="P19" s="1207"/>
      <c r="Q19" s="1207"/>
      <c r="R19" s="1207"/>
      <c r="S19" s="1207"/>
      <c r="T19" s="1207"/>
      <c r="U19" s="1207"/>
      <c r="V19" s="1207"/>
      <c r="W19" s="1207"/>
      <c r="X19" s="1207"/>
      <c r="Y19" s="1207"/>
      <c r="Z19" s="1207"/>
      <c r="AA19" s="1207"/>
      <c r="AB19" s="1207"/>
      <c r="AC19" s="1207"/>
      <c r="AD19" s="1207"/>
      <c r="AE19" s="1207"/>
      <c r="AF19" s="1207"/>
      <c r="AG19" s="1207"/>
      <c r="AH19" s="1207"/>
      <c r="AI19" s="1207"/>
      <c r="AJ19" s="1207"/>
      <c r="AK19" s="1207"/>
      <c r="AL19" s="1208"/>
    </row>
    <row r="20" spans="1:39" s="35" customFormat="1" ht="15" customHeight="1" thickBot="1">
      <c r="A20" s="1224"/>
      <c r="B20" s="1225"/>
      <c r="C20" s="1225"/>
      <c r="D20" s="1226"/>
      <c r="E20" s="1244" t="s">
        <v>403</v>
      </c>
      <c r="F20" s="1244"/>
      <c r="G20" s="1244"/>
      <c r="H20" s="1244"/>
      <c r="I20" s="1244"/>
      <c r="J20" s="1244"/>
      <c r="K20" s="1244"/>
      <c r="L20" s="1244"/>
      <c r="M20" s="1244"/>
      <c r="N20" s="1244"/>
      <c r="O20" s="1244"/>
      <c r="P20" s="1244"/>
      <c r="Q20" s="1244"/>
      <c r="R20" s="1244"/>
      <c r="S20" s="1244"/>
      <c r="T20" s="1244"/>
      <c r="U20" s="1244"/>
      <c r="V20" s="1244"/>
      <c r="W20" s="1244"/>
      <c r="X20" s="1244"/>
      <c r="Y20" s="1244"/>
      <c r="Z20" s="1244"/>
      <c r="AA20" s="1244"/>
      <c r="AB20" s="1244"/>
      <c r="AC20" s="1244"/>
      <c r="AD20" s="1244"/>
      <c r="AE20" s="1244"/>
      <c r="AF20" s="1244"/>
      <c r="AG20" s="1244"/>
      <c r="AH20" s="1244"/>
      <c r="AI20" s="1244"/>
      <c r="AJ20" s="1244"/>
      <c r="AK20" s="1244"/>
      <c r="AL20" s="1245"/>
    </row>
    <row r="21" spans="1:39" s="35" customFormat="1" ht="18" customHeight="1">
      <c r="A21" s="1227" t="s">
        <v>404</v>
      </c>
      <c r="B21" s="1228"/>
      <c r="C21" s="1228"/>
      <c r="D21" s="1228"/>
      <c r="E21" s="1228"/>
      <c r="F21" s="1228"/>
      <c r="G21" s="1228"/>
      <c r="H21" s="1228"/>
      <c r="I21" s="1228"/>
      <c r="J21" s="1228"/>
      <c r="K21" s="1228"/>
      <c r="L21" s="1228"/>
      <c r="M21" s="1228"/>
      <c r="N21" s="1228"/>
      <c r="O21" s="1228"/>
      <c r="P21" s="1228"/>
      <c r="Q21" s="1228"/>
      <c r="R21" s="1228"/>
      <c r="S21" s="1228"/>
      <c r="T21" s="1228"/>
      <c r="U21" s="1228"/>
      <c r="V21" s="1228"/>
      <c r="W21" s="1228"/>
      <c r="X21" s="1228"/>
      <c r="Y21" s="1228"/>
      <c r="Z21" s="1228"/>
      <c r="AA21" s="1228"/>
      <c r="AB21" s="1228"/>
      <c r="AC21" s="1228"/>
      <c r="AD21" s="1228"/>
      <c r="AE21" s="1228"/>
      <c r="AF21" s="1228"/>
      <c r="AG21" s="1228"/>
      <c r="AH21" s="1228"/>
      <c r="AI21" s="1228"/>
      <c r="AJ21" s="1228"/>
      <c r="AK21" s="1228"/>
      <c r="AL21" s="1229"/>
    </row>
    <row r="22" spans="1:39" s="35" customFormat="1" ht="45" customHeight="1">
      <c r="A22" s="1230" t="s">
        <v>405</v>
      </c>
      <c r="B22" s="1231"/>
      <c r="C22" s="1231"/>
      <c r="D22" s="1231"/>
      <c r="E22" s="1231"/>
      <c r="F22" s="1231"/>
      <c r="G22" s="1231"/>
      <c r="H22" s="1231"/>
      <c r="I22" s="1231"/>
      <c r="J22" s="1231"/>
      <c r="K22" s="1231"/>
      <c r="L22" s="1231"/>
      <c r="M22" s="1231"/>
      <c r="N22" s="1231"/>
      <c r="O22" s="1231"/>
      <c r="P22" s="1231"/>
      <c r="Q22" s="1231"/>
      <c r="R22" s="1231"/>
      <c r="S22" s="1231"/>
      <c r="T22" s="1231"/>
      <c r="U22" s="1231"/>
      <c r="V22" s="1231"/>
      <c r="W22" s="1231"/>
      <c r="X22" s="1231"/>
      <c r="Y22" s="1231"/>
      <c r="Z22" s="1231"/>
      <c r="AA22" s="1231"/>
      <c r="AB22" s="1231"/>
      <c r="AC22" s="1231"/>
      <c r="AD22" s="1231"/>
      <c r="AE22" s="1231"/>
      <c r="AF22" s="1231"/>
      <c r="AG22" s="1231"/>
      <c r="AH22" s="1231"/>
      <c r="AI22" s="1231"/>
      <c r="AJ22" s="1231"/>
      <c r="AK22" s="1231"/>
      <c r="AL22" s="1232"/>
    </row>
    <row r="23" spans="1:39" s="35" customFormat="1" ht="15" customHeight="1">
      <c r="A23" s="1233" t="s">
        <v>375</v>
      </c>
      <c r="B23" s="1234"/>
      <c r="C23" s="1234"/>
      <c r="D23" s="1234"/>
      <c r="E23" s="1234"/>
      <c r="F23" s="1234"/>
      <c r="G23" s="1234"/>
      <c r="H23" s="1234"/>
      <c r="I23" s="1234"/>
      <c r="J23" s="1234"/>
      <c r="K23" s="1234"/>
      <c r="L23" s="1234"/>
      <c r="M23" s="1234"/>
      <c r="N23" s="1234"/>
      <c r="O23" s="1234"/>
      <c r="P23" s="1234"/>
      <c r="Q23" s="1234"/>
      <c r="R23" s="1234"/>
      <c r="S23" s="1234"/>
      <c r="T23" s="1234"/>
      <c r="U23" s="1234"/>
      <c r="V23" s="1234"/>
      <c r="W23" s="1234"/>
      <c r="X23" s="1234"/>
      <c r="Y23" s="1234"/>
      <c r="Z23" s="1234"/>
      <c r="AA23" s="1234"/>
      <c r="AB23" s="1234"/>
      <c r="AC23" s="1234"/>
      <c r="AD23" s="1234"/>
      <c r="AE23" s="1234"/>
      <c r="AF23" s="1234"/>
      <c r="AG23" s="1234"/>
      <c r="AH23" s="1234"/>
      <c r="AI23" s="1234"/>
      <c r="AJ23" s="1234"/>
      <c r="AK23" s="1234"/>
      <c r="AL23" s="1235"/>
      <c r="AM23" s="25"/>
    </row>
    <row r="24" spans="1:39" s="35" customFormat="1" ht="15" customHeight="1">
      <c r="A24" s="1236" t="s">
        <v>406</v>
      </c>
      <c r="B24" s="1237"/>
      <c r="C24" s="1237"/>
      <c r="D24" s="1237"/>
      <c r="E24" s="1237"/>
      <c r="F24" s="1237"/>
      <c r="G24" s="1237"/>
      <c r="H24" s="1237"/>
      <c r="I24" s="1237"/>
      <c r="J24" s="1237"/>
      <c r="K24" s="1237"/>
      <c r="L24" s="1237"/>
      <c r="M24" s="1237"/>
      <c r="N24" s="1237"/>
      <c r="O24" s="1237"/>
      <c r="P24" s="1237"/>
      <c r="Q24" s="1237"/>
      <c r="R24" s="1237"/>
      <c r="S24" s="1237"/>
      <c r="T24" s="1237"/>
      <c r="U24" s="1237"/>
      <c r="V24" s="1237"/>
      <c r="W24" s="1237"/>
      <c r="X24" s="1237"/>
      <c r="Y24" s="1237"/>
      <c r="Z24" s="1237"/>
      <c r="AA24" s="1237"/>
      <c r="AB24" s="1237"/>
      <c r="AC24" s="1237"/>
      <c r="AD24" s="1237"/>
      <c r="AE24" s="1237"/>
      <c r="AF24" s="1237"/>
      <c r="AG24" s="1237"/>
      <c r="AH24" s="1237"/>
      <c r="AI24" s="1237"/>
      <c r="AJ24" s="1237"/>
      <c r="AK24" s="1237"/>
      <c r="AL24" s="1238"/>
      <c r="AM24" s="25"/>
    </row>
    <row r="25" spans="1:39" s="35" customFormat="1" ht="15" customHeight="1">
      <c r="A25" s="1241" t="s">
        <v>407</v>
      </c>
      <c r="B25" s="1242"/>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3"/>
      <c r="AK25" s="1239"/>
      <c r="AL25" s="1240"/>
    </row>
    <row r="26" spans="1:39" s="25" customFormat="1" ht="15" customHeight="1">
      <c r="A26" s="1260" t="s">
        <v>408</v>
      </c>
      <c r="B26" s="1261"/>
      <c r="C26" s="1261"/>
      <c r="D26" s="1261"/>
      <c r="E26" s="1261"/>
      <c r="F26" s="1261"/>
      <c r="G26" s="1261"/>
      <c r="H26" s="1261"/>
      <c r="I26" s="1261"/>
      <c r="J26" s="1261"/>
      <c r="K26" s="1261"/>
      <c r="L26" s="1261"/>
      <c r="M26" s="1261"/>
      <c r="N26" s="1261"/>
      <c r="O26" s="1261"/>
      <c r="P26" s="1261"/>
      <c r="Q26" s="1261"/>
      <c r="R26" s="1261"/>
      <c r="S26" s="1261"/>
      <c r="T26" s="1261"/>
      <c r="U26" s="1261"/>
      <c r="V26" s="1261"/>
      <c r="W26" s="1261"/>
      <c r="X26" s="1261"/>
      <c r="Y26" s="1261"/>
      <c r="Z26" s="1261"/>
      <c r="AA26" s="1261"/>
      <c r="AB26" s="1261"/>
      <c r="AC26" s="1261"/>
      <c r="AD26" s="1261"/>
      <c r="AE26" s="1261"/>
      <c r="AF26" s="1261"/>
      <c r="AG26" s="1261"/>
      <c r="AH26" s="1261"/>
      <c r="AI26" s="1261"/>
      <c r="AJ26" s="1261"/>
      <c r="AK26" s="1261"/>
      <c r="AL26" s="1262"/>
    </row>
    <row r="27" spans="1:39" s="25" customFormat="1" ht="75" customHeight="1">
      <c r="A27" s="1249"/>
      <c r="B27" s="1250"/>
      <c r="C27" s="1250"/>
      <c r="D27" s="1250"/>
      <c r="E27" s="1250"/>
      <c r="F27" s="1250"/>
      <c r="G27" s="1250"/>
      <c r="H27" s="1250"/>
      <c r="I27" s="1250"/>
      <c r="J27" s="1250"/>
      <c r="K27" s="1250"/>
      <c r="L27" s="1250"/>
      <c r="M27" s="1250"/>
      <c r="N27" s="1250"/>
      <c r="O27" s="1250"/>
      <c r="P27" s="1250"/>
      <c r="Q27" s="1250"/>
      <c r="R27" s="1250"/>
      <c r="S27" s="1250"/>
      <c r="T27" s="1250"/>
      <c r="U27" s="1250"/>
      <c r="V27" s="1250"/>
      <c r="W27" s="1250"/>
      <c r="X27" s="1250"/>
      <c r="Y27" s="1250"/>
      <c r="Z27" s="1250"/>
      <c r="AA27" s="1250"/>
      <c r="AB27" s="1250"/>
      <c r="AC27" s="1250"/>
      <c r="AD27" s="1250"/>
      <c r="AE27" s="1250"/>
      <c r="AF27" s="1250"/>
      <c r="AG27" s="1250"/>
      <c r="AH27" s="1250"/>
      <c r="AI27" s="1250"/>
      <c r="AJ27" s="1250"/>
      <c r="AK27" s="1250"/>
      <c r="AL27" s="1251"/>
    </row>
    <row r="28" spans="1:39" s="25" customFormat="1" ht="30" customHeight="1">
      <c r="A28" s="1257" t="s">
        <v>409</v>
      </c>
      <c r="B28" s="1263"/>
      <c r="C28" s="1263"/>
      <c r="D28" s="1263"/>
      <c r="E28" s="1263"/>
      <c r="F28" s="1263"/>
      <c r="G28" s="1263"/>
      <c r="H28" s="1263"/>
      <c r="I28" s="1263"/>
      <c r="J28" s="1263"/>
      <c r="K28" s="1263"/>
      <c r="L28" s="1263"/>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4"/>
    </row>
    <row r="29" spans="1:39" s="25" customFormat="1" ht="75" customHeight="1">
      <c r="A29" s="1249"/>
      <c r="B29" s="1250"/>
      <c r="C29" s="1250"/>
      <c r="D29" s="1250"/>
      <c r="E29" s="1250"/>
      <c r="F29" s="1250"/>
      <c r="G29" s="1250"/>
      <c r="H29" s="1250"/>
      <c r="I29" s="1250"/>
      <c r="J29" s="1250"/>
      <c r="K29" s="1250"/>
      <c r="L29" s="1250"/>
      <c r="M29" s="1250"/>
      <c r="N29" s="1250"/>
      <c r="O29" s="1250"/>
      <c r="P29" s="1250"/>
      <c r="Q29" s="1250"/>
      <c r="R29" s="1250"/>
      <c r="S29" s="1250"/>
      <c r="T29" s="1250"/>
      <c r="U29" s="1250"/>
      <c r="V29" s="1250"/>
      <c r="W29" s="1250"/>
      <c r="X29" s="1250"/>
      <c r="Y29" s="1250"/>
      <c r="Z29" s="1250"/>
      <c r="AA29" s="1250"/>
      <c r="AB29" s="1250"/>
      <c r="AC29" s="1250"/>
      <c r="AD29" s="1250"/>
      <c r="AE29" s="1250"/>
      <c r="AF29" s="1250"/>
      <c r="AG29" s="1250"/>
      <c r="AH29" s="1250"/>
      <c r="AI29" s="1250"/>
      <c r="AJ29" s="1250"/>
      <c r="AK29" s="1250"/>
      <c r="AL29" s="1251"/>
    </row>
    <row r="30" spans="1:39" s="25" customFormat="1" ht="45" customHeight="1">
      <c r="A30" s="1265" t="s">
        <v>410</v>
      </c>
      <c r="B30" s="1266"/>
      <c r="C30" s="1266"/>
      <c r="D30" s="1266"/>
      <c r="E30" s="1266"/>
      <c r="F30" s="1266"/>
      <c r="G30" s="1266"/>
      <c r="H30" s="1266"/>
      <c r="I30" s="1266"/>
      <c r="J30" s="1266"/>
      <c r="K30" s="1266"/>
      <c r="L30" s="1266"/>
      <c r="M30" s="1266"/>
      <c r="N30" s="1266"/>
      <c r="O30" s="1266"/>
      <c r="P30" s="1266"/>
      <c r="Q30" s="1266"/>
      <c r="R30" s="1266"/>
      <c r="S30" s="1266"/>
      <c r="T30" s="1266"/>
      <c r="U30" s="1266"/>
      <c r="V30" s="1266"/>
      <c r="W30" s="1266"/>
      <c r="X30" s="1266"/>
      <c r="Y30" s="1266"/>
      <c r="Z30" s="1266"/>
      <c r="AA30" s="1266"/>
      <c r="AB30" s="1266"/>
      <c r="AC30" s="1266"/>
      <c r="AD30" s="1266"/>
      <c r="AE30" s="1266"/>
      <c r="AF30" s="1266"/>
      <c r="AG30" s="1266"/>
      <c r="AH30" s="1266"/>
      <c r="AI30" s="1266"/>
      <c r="AJ30" s="1266"/>
      <c r="AK30" s="1266"/>
      <c r="AL30" s="1267"/>
      <c r="AM30" s="35"/>
    </row>
    <row r="31" spans="1:39" s="25" customFormat="1" ht="75" customHeight="1">
      <c r="A31" s="1249"/>
      <c r="B31" s="1250"/>
      <c r="C31" s="1250"/>
      <c r="D31" s="1250"/>
      <c r="E31" s="1250"/>
      <c r="F31" s="1250"/>
      <c r="G31" s="1250"/>
      <c r="H31" s="1250"/>
      <c r="I31" s="1250"/>
      <c r="J31" s="1250"/>
      <c r="K31" s="1250"/>
      <c r="L31" s="1250"/>
      <c r="M31" s="1250"/>
      <c r="N31" s="1250"/>
      <c r="O31" s="1250"/>
      <c r="P31" s="1250"/>
      <c r="Q31" s="1250"/>
      <c r="R31" s="1250"/>
      <c r="S31" s="1250"/>
      <c r="T31" s="1250"/>
      <c r="U31" s="1250"/>
      <c r="V31" s="1250"/>
      <c r="W31" s="1250"/>
      <c r="X31" s="1250"/>
      <c r="Y31" s="1250"/>
      <c r="Z31" s="1250"/>
      <c r="AA31" s="1250"/>
      <c r="AB31" s="1250"/>
      <c r="AC31" s="1250"/>
      <c r="AD31" s="1250"/>
      <c r="AE31" s="1250"/>
      <c r="AF31" s="1250"/>
      <c r="AG31" s="1250"/>
      <c r="AH31" s="1250"/>
      <c r="AI31" s="1250"/>
      <c r="AJ31" s="1250"/>
      <c r="AK31" s="1250"/>
      <c r="AL31" s="1251"/>
      <c r="AM31" s="36"/>
    </row>
    <row r="32" spans="1:39" s="25" customFormat="1" ht="15" customHeight="1">
      <c r="A32" s="1246" t="s">
        <v>411</v>
      </c>
      <c r="B32" s="1247"/>
      <c r="C32" s="1247"/>
      <c r="D32" s="1247"/>
      <c r="E32" s="1247"/>
      <c r="F32" s="1247"/>
      <c r="G32" s="1247"/>
      <c r="H32" s="1247"/>
      <c r="I32" s="1247"/>
      <c r="J32" s="1247"/>
      <c r="K32" s="1247"/>
      <c r="L32" s="1247"/>
      <c r="M32" s="1247"/>
      <c r="N32" s="1247"/>
      <c r="O32" s="1247"/>
      <c r="P32" s="1247"/>
      <c r="Q32" s="1247"/>
      <c r="R32" s="1247"/>
      <c r="S32" s="1247"/>
      <c r="T32" s="1247"/>
      <c r="U32" s="1247"/>
      <c r="V32" s="1247"/>
      <c r="W32" s="1247"/>
      <c r="X32" s="1247"/>
      <c r="Y32" s="1247"/>
      <c r="Z32" s="1247"/>
      <c r="AA32" s="1247"/>
      <c r="AB32" s="1247"/>
      <c r="AC32" s="1247"/>
      <c r="AD32" s="1247"/>
      <c r="AE32" s="1247"/>
      <c r="AF32" s="1247"/>
      <c r="AG32" s="1247"/>
      <c r="AH32" s="1247"/>
      <c r="AI32" s="1247"/>
      <c r="AJ32" s="1247"/>
      <c r="AK32" s="1247"/>
      <c r="AL32" s="1248"/>
    </row>
    <row r="33" spans="1:39" s="25" customFormat="1" ht="75" customHeight="1">
      <c r="A33" s="1249"/>
      <c r="B33" s="1250"/>
      <c r="C33" s="1250"/>
      <c r="D33" s="1250"/>
      <c r="E33" s="1250"/>
      <c r="F33" s="1250"/>
      <c r="G33" s="1250"/>
      <c r="H33" s="1250"/>
      <c r="I33" s="1250"/>
      <c r="J33" s="1250"/>
      <c r="K33" s="1250"/>
      <c r="L33" s="1250"/>
      <c r="M33" s="1250"/>
      <c r="N33" s="1250"/>
      <c r="O33" s="1250"/>
      <c r="P33" s="1250"/>
      <c r="Q33" s="1250"/>
      <c r="R33" s="1250"/>
      <c r="S33" s="1250"/>
      <c r="T33" s="1250"/>
      <c r="U33" s="1250"/>
      <c r="V33" s="1250"/>
      <c r="W33" s="1250"/>
      <c r="X33" s="1250"/>
      <c r="Y33" s="1250"/>
      <c r="Z33" s="1250"/>
      <c r="AA33" s="1250"/>
      <c r="AB33" s="1250"/>
      <c r="AC33" s="1250"/>
      <c r="AD33" s="1250"/>
      <c r="AE33" s="1250"/>
      <c r="AF33" s="1250"/>
      <c r="AG33" s="1250"/>
      <c r="AH33" s="1250"/>
      <c r="AI33" s="1250"/>
      <c r="AJ33" s="1250"/>
      <c r="AK33" s="1250"/>
      <c r="AL33" s="1251"/>
    </row>
    <row r="34" spans="1:39" s="35" customFormat="1" ht="15" customHeight="1">
      <c r="A34" s="1479" t="s">
        <v>377</v>
      </c>
      <c r="B34" s="1234"/>
      <c r="C34" s="1234"/>
      <c r="D34" s="1234"/>
      <c r="E34" s="1234"/>
      <c r="F34" s="1234"/>
      <c r="G34" s="1234"/>
      <c r="H34" s="1234"/>
      <c r="I34" s="1234"/>
      <c r="J34" s="1234"/>
      <c r="K34" s="1234"/>
      <c r="L34" s="1234"/>
      <c r="M34" s="1234"/>
      <c r="N34" s="1234"/>
      <c r="O34" s="1234"/>
      <c r="P34" s="1234"/>
      <c r="Q34" s="1234"/>
      <c r="R34" s="1234"/>
      <c r="S34" s="1234"/>
      <c r="T34" s="1234"/>
      <c r="U34" s="1234"/>
      <c r="V34" s="1234"/>
      <c r="W34" s="1234"/>
      <c r="X34" s="1234"/>
      <c r="Y34" s="1234"/>
      <c r="Z34" s="1234"/>
      <c r="AA34" s="1234"/>
      <c r="AB34" s="1234"/>
      <c r="AC34" s="1234"/>
      <c r="AD34" s="1234"/>
      <c r="AE34" s="1234"/>
      <c r="AF34" s="1234"/>
      <c r="AG34" s="1234"/>
      <c r="AH34" s="1234"/>
      <c r="AI34" s="1234"/>
      <c r="AJ34" s="1234"/>
      <c r="AK34" s="1234"/>
      <c r="AL34" s="1235"/>
      <c r="AM34" s="25"/>
    </row>
    <row r="35" spans="1:39" s="36" customFormat="1" ht="45" customHeight="1">
      <c r="A35" s="1241" t="s">
        <v>412</v>
      </c>
      <c r="B35" s="1252"/>
      <c r="C35" s="1252"/>
      <c r="D35" s="1252"/>
      <c r="E35" s="1252"/>
      <c r="F35" s="1252"/>
      <c r="G35" s="1252"/>
      <c r="H35" s="1252"/>
      <c r="I35" s="1252"/>
      <c r="J35" s="1252"/>
      <c r="K35" s="1252"/>
      <c r="L35" s="1252"/>
      <c r="M35" s="1252"/>
      <c r="N35" s="1252"/>
      <c r="O35" s="1252"/>
      <c r="P35" s="1252"/>
      <c r="Q35" s="1252"/>
      <c r="R35" s="1252"/>
      <c r="S35" s="1252"/>
      <c r="T35" s="1252"/>
      <c r="U35" s="1252"/>
      <c r="V35" s="1252"/>
      <c r="W35" s="1252"/>
      <c r="X35" s="1252"/>
      <c r="Y35" s="1252"/>
      <c r="Z35" s="1252"/>
      <c r="AA35" s="1252"/>
      <c r="AB35" s="1252"/>
      <c r="AC35" s="1252"/>
      <c r="AD35" s="1252"/>
      <c r="AE35" s="1252"/>
      <c r="AF35" s="1252"/>
      <c r="AG35" s="1252"/>
      <c r="AH35" s="1252"/>
      <c r="AI35" s="1252"/>
      <c r="AJ35" s="1252"/>
      <c r="AK35" s="1252"/>
      <c r="AL35" s="1253"/>
      <c r="AM35" s="25"/>
    </row>
    <row r="36" spans="1:39" s="25" customFormat="1" ht="45" customHeight="1">
      <c r="A36" s="1254" t="s">
        <v>413</v>
      </c>
      <c r="B36" s="1255"/>
      <c r="C36" s="1255"/>
      <c r="D36" s="1255"/>
      <c r="E36" s="1255"/>
      <c r="F36" s="1255"/>
      <c r="G36" s="1255"/>
      <c r="H36" s="1255"/>
      <c r="I36" s="1255"/>
      <c r="J36" s="1255"/>
      <c r="K36" s="1255"/>
      <c r="L36" s="1255"/>
      <c r="M36" s="1255"/>
      <c r="N36" s="1255"/>
      <c r="O36" s="1255"/>
      <c r="P36" s="1255"/>
      <c r="Q36" s="1255"/>
      <c r="R36" s="1255"/>
      <c r="S36" s="1255"/>
      <c r="T36" s="1255"/>
      <c r="U36" s="1255"/>
      <c r="V36" s="1255"/>
      <c r="W36" s="1255"/>
      <c r="X36" s="1255"/>
      <c r="Y36" s="1255"/>
      <c r="Z36" s="1255"/>
      <c r="AA36" s="1255"/>
      <c r="AB36" s="1255"/>
      <c r="AC36" s="1255"/>
      <c r="AD36" s="1255"/>
      <c r="AE36" s="1255"/>
      <c r="AF36" s="1255"/>
      <c r="AG36" s="1255"/>
      <c r="AH36" s="1255"/>
      <c r="AI36" s="1255"/>
      <c r="AJ36" s="1255"/>
      <c r="AK36" s="1255"/>
      <c r="AL36" s="1256"/>
    </row>
    <row r="37" spans="1:39" s="25" customFormat="1" ht="75" customHeight="1">
      <c r="A37" s="1249"/>
      <c r="B37" s="1250"/>
      <c r="C37" s="1250"/>
      <c r="D37" s="1250"/>
      <c r="E37" s="1250"/>
      <c r="F37" s="1250"/>
      <c r="G37" s="1250"/>
      <c r="H37" s="1250"/>
      <c r="I37" s="1250"/>
      <c r="J37" s="1250"/>
      <c r="K37" s="1250"/>
      <c r="L37" s="1250"/>
      <c r="M37" s="1250"/>
      <c r="N37" s="1250"/>
      <c r="O37" s="1250"/>
      <c r="P37" s="1250"/>
      <c r="Q37" s="1250"/>
      <c r="R37" s="1250"/>
      <c r="S37" s="1250"/>
      <c r="T37" s="1250"/>
      <c r="U37" s="1250"/>
      <c r="V37" s="1250"/>
      <c r="W37" s="1250"/>
      <c r="X37" s="1250"/>
      <c r="Y37" s="1250"/>
      <c r="Z37" s="1250"/>
      <c r="AA37" s="1250"/>
      <c r="AB37" s="1250"/>
      <c r="AC37" s="1250"/>
      <c r="AD37" s="1250"/>
      <c r="AE37" s="1250"/>
      <c r="AF37" s="1250"/>
      <c r="AG37" s="1250"/>
      <c r="AH37" s="1250"/>
      <c r="AI37" s="1250"/>
      <c r="AJ37" s="1250"/>
      <c r="AK37" s="1250"/>
      <c r="AL37" s="1251"/>
    </row>
    <row r="38" spans="1:39" s="25" customFormat="1" ht="30" customHeight="1">
      <c r="A38" s="1257" t="s">
        <v>414</v>
      </c>
      <c r="B38" s="1258"/>
      <c r="C38" s="1258"/>
      <c r="D38" s="1258"/>
      <c r="E38" s="1258"/>
      <c r="F38" s="1258"/>
      <c r="G38" s="1258"/>
      <c r="H38" s="1258"/>
      <c r="I38" s="1258"/>
      <c r="J38" s="1258"/>
      <c r="K38" s="1258"/>
      <c r="L38" s="1258"/>
      <c r="M38" s="1258"/>
      <c r="N38" s="1258"/>
      <c r="O38" s="1258"/>
      <c r="P38" s="1258"/>
      <c r="Q38" s="1258"/>
      <c r="R38" s="1258"/>
      <c r="S38" s="1258"/>
      <c r="T38" s="1258"/>
      <c r="U38" s="1258"/>
      <c r="V38" s="1258"/>
      <c r="W38" s="1258"/>
      <c r="X38" s="1258"/>
      <c r="Y38" s="1258"/>
      <c r="Z38" s="1258"/>
      <c r="AA38" s="1258"/>
      <c r="AB38" s="1258"/>
      <c r="AC38" s="1258"/>
      <c r="AD38" s="1258"/>
      <c r="AE38" s="1258"/>
      <c r="AF38" s="1258"/>
      <c r="AG38" s="1258"/>
      <c r="AH38" s="1258"/>
      <c r="AI38" s="1258"/>
      <c r="AJ38" s="1258"/>
      <c r="AK38" s="1258"/>
      <c r="AL38" s="1259"/>
    </row>
    <row r="39" spans="1:39" s="25" customFormat="1" ht="75" customHeight="1">
      <c r="A39" s="1249"/>
      <c r="B39" s="1250"/>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1"/>
    </row>
    <row r="40" spans="1:39" s="26" customFormat="1" ht="15" customHeight="1">
      <c r="A40" s="1271" t="s">
        <v>378</v>
      </c>
      <c r="B40" s="1211"/>
      <c r="C40" s="1211"/>
      <c r="D40" s="1211"/>
      <c r="E40" s="1211"/>
      <c r="F40" s="1211"/>
      <c r="G40" s="1211"/>
      <c r="H40" s="1211"/>
      <c r="I40" s="1211"/>
      <c r="J40" s="1211"/>
      <c r="K40" s="1211"/>
      <c r="L40" s="1211"/>
      <c r="M40" s="1211"/>
      <c r="N40" s="1211"/>
      <c r="O40" s="1211"/>
      <c r="P40" s="1211"/>
      <c r="Q40" s="1211"/>
      <c r="R40" s="1211"/>
      <c r="S40" s="1211"/>
      <c r="T40" s="1211"/>
      <c r="U40" s="1211"/>
      <c r="V40" s="1211"/>
      <c r="W40" s="1211"/>
      <c r="X40" s="1211"/>
      <c r="Y40" s="1211"/>
      <c r="Z40" s="1211"/>
      <c r="AA40" s="1211"/>
      <c r="AB40" s="1211"/>
      <c r="AC40" s="1211"/>
      <c r="AD40" s="1211"/>
      <c r="AE40" s="1211"/>
      <c r="AF40" s="1211"/>
      <c r="AG40" s="1211"/>
      <c r="AH40" s="1211"/>
      <c r="AI40" s="1211"/>
      <c r="AJ40" s="1211"/>
      <c r="AK40" s="1211"/>
      <c r="AL40" s="1212"/>
    </row>
    <row r="41" spans="1:39" s="26" customFormat="1" ht="27.75" customHeight="1">
      <c r="A41" s="1254" t="s">
        <v>415</v>
      </c>
      <c r="B41" s="1272"/>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3"/>
    </row>
    <row r="42" spans="1:39" s="26" customFormat="1" ht="15" customHeight="1">
      <c r="A42" s="1274" t="s">
        <v>416</v>
      </c>
      <c r="B42" s="1275"/>
      <c r="C42" s="1275"/>
      <c r="D42" s="1275"/>
      <c r="E42" s="1275"/>
      <c r="F42" s="1275"/>
      <c r="G42" s="1275"/>
      <c r="H42" s="1275"/>
      <c r="I42" s="1275"/>
      <c r="J42" s="1275"/>
      <c r="K42" s="1275"/>
      <c r="L42" s="1275"/>
      <c r="M42" s="1275"/>
      <c r="N42" s="1275"/>
      <c r="O42" s="1275"/>
      <c r="P42" s="1275"/>
      <c r="Q42" s="1275"/>
      <c r="R42" s="1275"/>
      <c r="S42" s="1275"/>
      <c r="T42" s="1275"/>
      <c r="U42" s="1275"/>
      <c r="V42" s="1275"/>
      <c r="W42" s="1275"/>
      <c r="X42" s="1275"/>
      <c r="Y42" s="1275"/>
      <c r="Z42" s="1275"/>
      <c r="AA42" s="1275"/>
      <c r="AB42" s="1275"/>
      <c r="AC42" s="1275"/>
      <c r="AD42" s="1275"/>
      <c r="AE42" s="1275"/>
      <c r="AF42" s="1275"/>
      <c r="AG42" s="1275"/>
      <c r="AH42" s="1275"/>
      <c r="AI42" s="1275"/>
      <c r="AJ42" s="1275"/>
      <c r="AK42" s="1275"/>
      <c r="AL42" s="1276"/>
    </row>
    <row r="43" spans="1:39" s="26" customFormat="1" ht="30" customHeight="1">
      <c r="A43" s="1279" t="s">
        <v>417</v>
      </c>
      <c r="B43" s="1280"/>
      <c r="C43" s="1280"/>
      <c r="D43" s="1280"/>
      <c r="E43" s="1280"/>
      <c r="F43" s="1280"/>
      <c r="G43" s="1280"/>
      <c r="H43" s="1280"/>
      <c r="I43" s="1280"/>
      <c r="J43" s="1280"/>
      <c r="K43" s="1280"/>
      <c r="L43" s="1280"/>
      <c r="M43" s="1280"/>
      <c r="N43" s="1280"/>
      <c r="O43" s="1280"/>
      <c r="P43" s="1280"/>
      <c r="Q43" s="1280"/>
      <c r="R43" s="1280"/>
      <c r="S43" s="1280"/>
      <c r="T43" s="1280"/>
      <c r="U43" s="1280"/>
      <c r="V43" s="1280"/>
      <c r="W43" s="1280"/>
      <c r="X43" s="1280"/>
      <c r="Y43" s="1280"/>
      <c r="Z43" s="1280"/>
      <c r="AA43" s="1280"/>
      <c r="AB43" s="1280"/>
      <c r="AC43" s="1280"/>
      <c r="AD43" s="1280"/>
      <c r="AE43" s="1280"/>
      <c r="AF43" s="1280"/>
      <c r="AG43" s="1280"/>
      <c r="AH43" s="1280"/>
      <c r="AI43" s="1280"/>
      <c r="AJ43" s="1281"/>
      <c r="AK43" s="1277"/>
      <c r="AL43" s="1278"/>
    </row>
    <row r="44" spans="1:39" s="26" customFormat="1" ht="30" customHeight="1">
      <c r="A44" s="1268" t="s">
        <v>418</v>
      </c>
      <c r="B44" s="1269"/>
      <c r="C44" s="1269"/>
      <c r="D44" s="1269"/>
      <c r="E44" s="1269"/>
      <c r="F44" s="1269"/>
      <c r="G44" s="1269"/>
      <c r="H44" s="1269"/>
      <c r="I44" s="1269"/>
      <c r="J44" s="1269"/>
      <c r="K44" s="1269"/>
      <c r="L44" s="1269"/>
      <c r="M44" s="1269"/>
      <c r="N44" s="1269"/>
      <c r="O44" s="1269"/>
      <c r="P44" s="1269"/>
      <c r="Q44" s="1269"/>
      <c r="R44" s="1269"/>
      <c r="S44" s="1269"/>
      <c r="T44" s="1269"/>
      <c r="U44" s="1269"/>
      <c r="V44" s="1269"/>
      <c r="W44" s="1269"/>
      <c r="X44" s="1269"/>
      <c r="Y44" s="1269"/>
      <c r="Z44" s="1269"/>
      <c r="AA44" s="1269"/>
      <c r="AB44" s="1269"/>
      <c r="AC44" s="1269"/>
      <c r="AD44" s="1269"/>
      <c r="AE44" s="1269"/>
      <c r="AF44" s="1269"/>
      <c r="AG44" s="1269"/>
      <c r="AH44" s="1269"/>
      <c r="AI44" s="1269"/>
      <c r="AJ44" s="1270"/>
      <c r="AK44" s="1239"/>
      <c r="AL44" s="1240"/>
    </row>
    <row r="45" spans="1:39" s="26" customFormat="1" ht="30" customHeight="1">
      <c r="A45" s="1268" t="s">
        <v>419</v>
      </c>
      <c r="B45" s="1269"/>
      <c r="C45" s="1269"/>
      <c r="D45" s="1269"/>
      <c r="E45" s="1269"/>
      <c r="F45" s="1269"/>
      <c r="G45" s="1269"/>
      <c r="H45" s="1269"/>
      <c r="I45" s="1269"/>
      <c r="J45" s="1269"/>
      <c r="K45" s="1269"/>
      <c r="L45" s="1269"/>
      <c r="M45" s="1269"/>
      <c r="N45" s="1269"/>
      <c r="O45" s="1269"/>
      <c r="P45" s="1269"/>
      <c r="Q45" s="1269"/>
      <c r="R45" s="1269"/>
      <c r="S45" s="1269"/>
      <c r="T45" s="1269"/>
      <c r="U45" s="1269"/>
      <c r="V45" s="1269"/>
      <c r="W45" s="1269"/>
      <c r="X45" s="1269"/>
      <c r="Y45" s="1269"/>
      <c r="Z45" s="1269"/>
      <c r="AA45" s="1269"/>
      <c r="AB45" s="1269"/>
      <c r="AC45" s="1269"/>
      <c r="AD45" s="1269"/>
      <c r="AE45" s="1269"/>
      <c r="AF45" s="1269"/>
      <c r="AG45" s="1269"/>
      <c r="AH45" s="1269"/>
      <c r="AI45" s="1269"/>
      <c r="AJ45" s="1270"/>
      <c r="AK45" s="1239"/>
      <c r="AL45" s="1240"/>
    </row>
    <row r="46" spans="1:39" s="26" customFormat="1" ht="30" customHeight="1">
      <c r="A46" s="1268" t="s">
        <v>420</v>
      </c>
      <c r="B46" s="1269"/>
      <c r="C46" s="1269"/>
      <c r="D46" s="1269"/>
      <c r="E46" s="1269"/>
      <c r="F46" s="1269"/>
      <c r="G46" s="1269"/>
      <c r="H46" s="1269"/>
      <c r="I46" s="1269"/>
      <c r="J46" s="1269"/>
      <c r="K46" s="1269"/>
      <c r="L46" s="1269"/>
      <c r="M46" s="1269"/>
      <c r="N46" s="1269"/>
      <c r="O46" s="1269"/>
      <c r="P46" s="1269"/>
      <c r="Q46" s="1269"/>
      <c r="R46" s="1269"/>
      <c r="S46" s="1269"/>
      <c r="T46" s="1269"/>
      <c r="U46" s="1269"/>
      <c r="V46" s="1269"/>
      <c r="W46" s="1269"/>
      <c r="X46" s="1269"/>
      <c r="Y46" s="1269"/>
      <c r="Z46" s="1269"/>
      <c r="AA46" s="1269"/>
      <c r="AB46" s="1269"/>
      <c r="AC46" s="1269"/>
      <c r="AD46" s="1269"/>
      <c r="AE46" s="1269"/>
      <c r="AF46" s="1269"/>
      <c r="AG46" s="1269"/>
      <c r="AH46" s="1269"/>
      <c r="AI46" s="1269"/>
      <c r="AJ46" s="1270"/>
      <c r="AK46" s="1239"/>
      <c r="AL46" s="1240"/>
    </row>
    <row r="47" spans="1:39" s="26" customFormat="1" ht="15" customHeight="1">
      <c r="A47" s="1298" t="s">
        <v>421</v>
      </c>
      <c r="B47" s="1299"/>
      <c r="C47" s="1299"/>
      <c r="D47" s="1299"/>
      <c r="E47" s="1299"/>
      <c r="F47" s="1299"/>
      <c r="G47" s="1299"/>
      <c r="H47" s="1299"/>
      <c r="I47" s="1299"/>
      <c r="J47" s="1299"/>
      <c r="K47" s="1299"/>
      <c r="L47" s="1299"/>
      <c r="M47" s="1299"/>
      <c r="N47" s="1299"/>
      <c r="O47" s="1299"/>
      <c r="P47" s="1299"/>
      <c r="Q47" s="1299"/>
      <c r="R47" s="1299"/>
      <c r="S47" s="1299"/>
      <c r="T47" s="1299"/>
      <c r="U47" s="1299"/>
      <c r="V47" s="1299"/>
      <c r="W47" s="1299"/>
      <c r="X47" s="1299"/>
      <c r="Y47" s="1299"/>
      <c r="Z47" s="1299"/>
      <c r="AA47" s="1299"/>
      <c r="AB47" s="1299"/>
      <c r="AC47" s="1299"/>
      <c r="AD47" s="1299"/>
      <c r="AE47" s="1299"/>
      <c r="AF47" s="1299"/>
      <c r="AG47" s="1299"/>
      <c r="AH47" s="1299"/>
      <c r="AI47" s="1299"/>
      <c r="AJ47" s="1299"/>
      <c r="AK47" s="1299"/>
      <c r="AL47" s="1300"/>
    </row>
    <row r="48" spans="1:39" s="26" customFormat="1" ht="15" customHeight="1">
      <c r="A48" s="1279" t="s">
        <v>422</v>
      </c>
      <c r="B48" s="1280"/>
      <c r="C48" s="1280"/>
      <c r="D48" s="1280"/>
      <c r="E48" s="1280"/>
      <c r="F48" s="1280"/>
      <c r="G48" s="1280"/>
      <c r="H48" s="1280"/>
      <c r="I48" s="1280"/>
      <c r="J48" s="1280"/>
      <c r="K48" s="1280"/>
      <c r="L48" s="1280"/>
      <c r="M48" s="1280"/>
      <c r="N48" s="1280"/>
      <c r="O48" s="1280"/>
      <c r="P48" s="1280"/>
      <c r="Q48" s="1280"/>
      <c r="R48" s="1280"/>
      <c r="S48" s="1280"/>
      <c r="T48" s="1280"/>
      <c r="U48" s="1280"/>
      <c r="V48" s="1280"/>
      <c r="W48" s="1280"/>
      <c r="X48" s="1280"/>
      <c r="Y48" s="1280"/>
      <c r="Z48" s="1280"/>
      <c r="AA48" s="1280"/>
      <c r="AB48" s="1280"/>
      <c r="AC48" s="1280"/>
      <c r="AD48" s="1280"/>
      <c r="AE48" s="1280"/>
      <c r="AF48" s="1280"/>
      <c r="AG48" s="1280"/>
      <c r="AH48" s="1280"/>
      <c r="AI48" s="1280"/>
      <c r="AJ48" s="1281"/>
      <c r="AK48" s="1277"/>
      <c r="AL48" s="1278"/>
    </row>
    <row r="49" spans="1:39" s="26" customFormat="1" ht="30" customHeight="1">
      <c r="A49" s="1268" t="s">
        <v>423</v>
      </c>
      <c r="B49" s="1269"/>
      <c r="C49" s="1269"/>
      <c r="D49" s="1269"/>
      <c r="E49" s="1269"/>
      <c r="F49" s="1269"/>
      <c r="G49" s="1269"/>
      <c r="H49" s="1269"/>
      <c r="I49" s="1269"/>
      <c r="J49" s="1269"/>
      <c r="K49" s="1269"/>
      <c r="L49" s="1269"/>
      <c r="M49" s="1269"/>
      <c r="N49" s="1269"/>
      <c r="O49" s="1269"/>
      <c r="P49" s="1269"/>
      <c r="Q49" s="1269"/>
      <c r="R49" s="1269"/>
      <c r="S49" s="1269"/>
      <c r="T49" s="1269"/>
      <c r="U49" s="1269"/>
      <c r="V49" s="1269"/>
      <c r="W49" s="1269"/>
      <c r="X49" s="1269"/>
      <c r="Y49" s="1269"/>
      <c r="Z49" s="1269"/>
      <c r="AA49" s="1269"/>
      <c r="AB49" s="1269"/>
      <c r="AC49" s="1269"/>
      <c r="AD49" s="1269"/>
      <c r="AE49" s="1269"/>
      <c r="AF49" s="1269"/>
      <c r="AG49" s="1269"/>
      <c r="AH49" s="1269"/>
      <c r="AI49" s="1269"/>
      <c r="AJ49" s="1270"/>
      <c r="AK49" s="1239"/>
      <c r="AL49" s="1240"/>
    </row>
    <row r="50" spans="1:39" s="26" customFormat="1" ht="30" customHeight="1">
      <c r="A50" s="1268" t="s">
        <v>424</v>
      </c>
      <c r="B50" s="1269"/>
      <c r="C50" s="1269"/>
      <c r="D50" s="1269"/>
      <c r="E50" s="1269"/>
      <c r="F50" s="1269"/>
      <c r="G50" s="1269"/>
      <c r="H50" s="1269"/>
      <c r="I50" s="1269"/>
      <c r="J50" s="1269"/>
      <c r="K50" s="1269"/>
      <c r="L50" s="1269"/>
      <c r="M50" s="1269"/>
      <c r="N50" s="1269"/>
      <c r="O50" s="1269"/>
      <c r="P50" s="1269"/>
      <c r="Q50" s="1269"/>
      <c r="R50" s="1269"/>
      <c r="S50" s="1269"/>
      <c r="T50" s="1269"/>
      <c r="U50" s="1269"/>
      <c r="V50" s="1269"/>
      <c r="W50" s="1269"/>
      <c r="X50" s="1269"/>
      <c r="Y50" s="1269"/>
      <c r="Z50" s="1269"/>
      <c r="AA50" s="1269"/>
      <c r="AB50" s="1269"/>
      <c r="AC50" s="1269"/>
      <c r="AD50" s="1269"/>
      <c r="AE50" s="1269"/>
      <c r="AF50" s="1269"/>
      <c r="AG50" s="1269"/>
      <c r="AH50" s="1269"/>
      <c r="AI50" s="1269"/>
      <c r="AJ50" s="1270"/>
      <c r="AK50" s="1239"/>
      <c r="AL50" s="1240"/>
    </row>
    <row r="51" spans="1:39" s="26" customFormat="1" ht="30" customHeight="1">
      <c r="A51" s="1268" t="s">
        <v>425</v>
      </c>
      <c r="B51" s="1269"/>
      <c r="C51" s="1269"/>
      <c r="D51" s="1269"/>
      <c r="E51" s="1269"/>
      <c r="F51" s="1269"/>
      <c r="G51" s="1269"/>
      <c r="H51" s="1269"/>
      <c r="I51" s="1269"/>
      <c r="J51" s="1269"/>
      <c r="K51" s="1269"/>
      <c r="L51" s="1269"/>
      <c r="M51" s="1269"/>
      <c r="N51" s="1269"/>
      <c r="O51" s="1269"/>
      <c r="P51" s="1269"/>
      <c r="Q51" s="1269"/>
      <c r="R51" s="1269"/>
      <c r="S51" s="1269"/>
      <c r="T51" s="1269"/>
      <c r="U51" s="1269"/>
      <c r="V51" s="1269"/>
      <c r="W51" s="1269"/>
      <c r="X51" s="1269"/>
      <c r="Y51" s="1269"/>
      <c r="Z51" s="1269"/>
      <c r="AA51" s="1269"/>
      <c r="AB51" s="1269"/>
      <c r="AC51" s="1269"/>
      <c r="AD51" s="1269"/>
      <c r="AE51" s="1269"/>
      <c r="AF51" s="1269"/>
      <c r="AG51" s="1269"/>
      <c r="AH51" s="1269"/>
      <c r="AI51" s="1269"/>
      <c r="AJ51" s="1270"/>
      <c r="AK51" s="1239"/>
      <c r="AL51" s="1240"/>
    </row>
    <row r="52" spans="1:39" s="26" customFormat="1" ht="15" customHeight="1">
      <c r="A52" s="1268" t="s">
        <v>426</v>
      </c>
      <c r="B52" s="1269"/>
      <c r="C52" s="1269"/>
      <c r="D52" s="1269"/>
      <c r="E52" s="1269"/>
      <c r="F52" s="1269"/>
      <c r="G52" s="1269"/>
      <c r="H52" s="1269"/>
      <c r="I52" s="1269"/>
      <c r="J52" s="1269"/>
      <c r="K52" s="1269"/>
      <c r="L52" s="1269"/>
      <c r="M52" s="1269"/>
      <c r="N52" s="1269"/>
      <c r="O52" s="1269"/>
      <c r="P52" s="1269"/>
      <c r="Q52" s="1269"/>
      <c r="R52" s="1269"/>
      <c r="S52" s="1269"/>
      <c r="T52" s="1269"/>
      <c r="U52" s="1269"/>
      <c r="V52" s="1269"/>
      <c r="W52" s="1269"/>
      <c r="X52" s="1269"/>
      <c r="Y52" s="1269"/>
      <c r="Z52" s="1269"/>
      <c r="AA52" s="1269"/>
      <c r="AB52" s="1269"/>
      <c r="AC52" s="1269"/>
      <c r="AD52" s="1269"/>
      <c r="AE52" s="1269"/>
      <c r="AF52" s="1269"/>
      <c r="AG52" s="1269"/>
      <c r="AH52" s="1269"/>
      <c r="AI52" s="1269"/>
      <c r="AJ52" s="1270"/>
      <c r="AK52" s="1239"/>
      <c r="AL52" s="1240"/>
    </row>
    <row r="53" spans="1:39" s="26" customFormat="1" ht="15" customHeight="1">
      <c r="A53" s="1298" t="s">
        <v>427</v>
      </c>
      <c r="B53" s="1299"/>
      <c r="C53" s="1299"/>
      <c r="D53" s="1299"/>
      <c r="E53" s="1299"/>
      <c r="F53" s="1299"/>
      <c r="G53" s="1299"/>
      <c r="H53" s="1299"/>
      <c r="I53" s="1299"/>
      <c r="J53" s="1299"/>
      <c r="K53" s="1299"/>
      <c r="L53" s="1299"/>
      <c r="M53" s="1299"/>
      <c r="N53" s="1299"/>
      <c r="O53" s="1299"/>
      <c r="P53" s="1299"/>
      <c r="Q53" s="1299"/>
      <c r="R53" s="1299"/>
      <c r="S53" s="1299"/>
      <c r="T53" s="1299"/>
      <c r="U53" s="1299"/>
      <c r="V53" s="1299"/>
      <c r="W53" s="1299"/>
      <c r="X53" s="1299"/>
      <c r="Y53" s="1299"/>
      <c r="Z53" s="1299"/>
      <c r="AA53" s="1299"/>
      <c r="AB53" s="1299"/>
      <c r="AC53" s="1299"/>
      <c r="AD53" s="1299"/>
      <c r="AE53" s="1299"/>
      <c r="AF53" s="1299"/>
      <c r="AG53" s="1299"/>
      <c r="AH53" s="1299"/>
      <c r="AI53" s="1299"/>
      <c r="AJ53" s="1299"/>
      <c r="AK53" s="1299"/>
      <c r="AL53" s="1300"/>
    </row>
    <row r="54" spans="1:39" s="26" customFormat="1" ht="15" customHeight="1">
      <c r="A54" s="1279" t="s">
        <v>428</v>
      </c>
      <c r="B54" s="1280"/>
      <c r="C54" s="1280"/>
      <c r="D54" s="1280"/>
      <c r="E54" s="1280"/>
      <c r="F54" s="1280"/>
      <c r="G54" s="1280"/>
      <c r="H54" s="1280"/>
      <c r="I54" s="1280"/>
      <c r="J54" s="1280"/>
      <c r="K54" s="1280"/>
      <c r="L54" s="1280"/>
      <c r="M54" s="1280"/>
      <c r="N54" s="1280"/>
      <c r="O54" s="1280"/>
      <c r="P54" s="1280"/>
      <c r="Q54" s="1280"/>
      <c r="R54" s="1280"/>
      <c r="S54" s="1280"/>
      <c r="T54" s="1280"/>
      <c r="U54" s="1280"/>
      <c r="V54" s="1280"/>
      <c r="W54" s="1280"/>
      <c r="X54" s="1280"/>
      <c r="Y54" s="1280"/>
      <c r="Z54" s="1280"/>
      <c r="AA54" s="1280"/>
      <c r="AB54" s="1280"/>
      <c r="AC54" s="1280"/>
      <c r="AD54" s="1280"/>
      <c r="AE54" s="1280"/>
      <c r="AF54" s="1280"/>
      <c r="AG54" s="1280"/>
      <c r="AH54" s="1280"/>
      <c r="AI54" s="1280"/>
      <c r="AJ54" s="1281"/>
      <c r="AK54" s="1277"/>
      <c r="AL54" s="1278"/>
    </row>
    <row r="55" spans="1:39" s="26" customFormat="1" ht="30" customHeight="1">
      <c r="A55" s="1268" t="s">
        <v>429</v>
      </c>
      <c r="B55" s="1269"/>
      <c r="C55" s="1269"/>
      <c r="D55" s="1269"/>
      <c r="E55" s="1269"/>
      <c r="F55" s="1269"/>
      <c r="G55" s="1269"/>
      <c r="H55" s="1269"/>
      <c r="I55" s="1269"/>
      <c r="J55" s="1269"/>
      <c r="K55" s="1269"/>
      <c r="L55" s="1269"/>
      <c r="M55" s="1269"/>
      <c r="N55" s="1269"/>
      <c r="O55" s="1269"/>
      <c r="P55" s="1269"/>
      <c r="Q55" s="1269"/>
      <c r="R55" s="1269"/>
      <c r="S55" s="1269"/>
      <c r="T55" s="1269"/>
      <c r="U55" s="1269"/>
      <c r="V55" s="1269"/>
      <c r="W55" s="1269"/>
      <c r="X55" s="1269"/>
      <c r="Y55" s="1269"/>
      <c r="Z55" s="1269"/>
      <c r="AA55" s="1269"/>
      <c r="AB55" s="1269"/>
      <c r="AC55" s="1269"/>
      <c r="AD55" s="1269"/>
      <c r="AE55" s="1269"/>
      <c r="AF55" s="1269"/>
      <c r="AG55" s="1269"/>
      <c r="AH55" s="1269"/>
      <c r="AI55" s="1269"/>
      <c r="AJ55" s="1270"/>
      <c r="AK55" s="1239"/>
      <c r="AL55" s="1240"/>
      <c r="AM55" s="25"/>
    </row>
    <row r="56" spans="1:39" s="26" customFormat="1" ht="30" customHeight="1">
      <c r="A56" s="1268" t="s">
        <v>430</v>
      </c>
      <c r="B56" s="1269"/>
      <c r="C56" s="1269"/>
      <c r="D56" s="1269"/>
      <c r="E56" s="1269"/>
      <c r="F56" s="1269"/>
      <c r="G56" s="1269"/>
      <c r="H56" s="1269"/>
      <c r="I56" s="1269"/>
      <c r="J56" s="1269"/>
      <c r="K56" s="1269"/>
      <c r="L56" s="1269"/>
      <c r="M56" s="1269"/>
      <c r="N56" s="1269"/>
      <c r="O56" s="1269"/>
      <c r="P56" s="1269"/>
      <c r="Q56" s="1269"/>
      <c r="R56" s="1269"/>
      <c r="S56" s="1269"/>
      <c r="T56" s="1269"/>
      <c r="U56" s="1269"/>
      <c r="V56" s="1269"/>
      <c r="W56" s="1269"/>
      <c r="X56" s="1269"/>
      <c r="Y56" s="1269"/>
      <c r="Z56" s="1269"/>
      <c r="AA56" s="1269"/>
      <c r="AB56" s="1269"/>
      <c r="AC56" s="1269"/>
      <c r="AD56" s="1269"/>
      <c r="AE56" s="1269"/>
      <c r="AF56" s="1269"/>
      <c r="AG56" s="1269"/>
      <c r="AH56" s="1269"/>
      <c r="AI56" s="1269"/>
      <c r="AJ56" s="1270"/>
      <c r="AK56" s="1239"/>
      <c r="AL56" s="1240"/>
      <c r="AM56" s="25"/>
    </row>
    <row r="57" spans="1:39" s="26" customFormat="1" ht="30" customHeight="1" thickBot="1">
      <c r="A57" s="1476" t="s">
        <v>431</v>
      </c>
      <c r="B57" s="1477"/>
      <c r="C57" s="1477"/>
      <c r="D57" s="1477"/>
      <c r="E57" s="1477"/>
      <c r="F57" s="1477"/>
      <c r="G57" s="1477"/>
      <c r="H57" s="1477"/>
      <c r="I57" s="1477"/>
      <c r="J57" s="1477"/>
      <c r="K57" s="1477"/>
      <c r="L57" s="1477"/>
      <c r="M57" s="1477"/>
      <c r="N57" s="1477"/>
      <c r="O57" s="1477"/>
      <c r="P57" s="1477"/>
      <c r="Q57" s="1477"/>
      <c r="R57" s="1477"/>
      <c r="S57" s="1477"/>
      <c r="T57" s="1477"/>
      <c r="U57" s="1477"/>
      <c r="V57" s="1477"/>
      <c r="W57" s="1477"/>
      <c r="X57" s="1477"/>
      <c r="Y57" s="1477"/>
      <c r="Z57" s="1477"/>
      <c r="AA57" s="1477"/>
      <c r="AB57" s="1477"/>
      <c r="AC57" s="1477"/>
      <c r="AD57" s="1477"/>
      <c r="AE57" s="1477"/>
      <c r="AF57" s="1477"/>
      <c r="AG57" s="1477"/>
      <c r="AH57" s="1477"/>
      <c r="AI57" s="1477"/>
      <c r="AJ57" s="1478"/>
      <c r="AK57" s="1239"/>
      <c r="AL57" s="1240"/>
    </row>
    <row r="58" spans="1:39" s="25" customFormat="1" ht="18" customHeight="1">
      <c r="A58" s="1286" t="s">
        <v>432</v>
      </c>
      <c r="B58" s="1287"/>
      <c r="C58" s="1287"/>
      <c r="D58" s="1287"/>
      <c r="E58" s="1287"/>
      <c r="F58" s="1287"/>
      <c r="G58" s="1287"/>
      <c r="H58" s="1287"/>
      <c r="I58" s="1287"/>
      <c r="J58" s="1287"/>
      <c r="K58" s="1287"/>
      <c r="L58" s="1287"/>
      <c r="M58" s="1287"/>
      <c r="N58" s="1287"/>
      <c r="O58" s="1287"/>
      <c r="P58" s="1287"/>
      <c r="Q58" s="1287"/>
      <c r="R58" s="1287"/>
      <c r="S58" s="1287"/>
      <c r="T58" s="1287"/>
      <c r="U58" s="1287"/>
      <c r="V58" s="1287"/>
      <c r="W58" s="1287"/>
      <c r="X58" s="1287"/>
      <c r="Y58" s="1287"/>
      <c r="Z58" s="1287"/>
      <c r="AA58" s="1287"/>
      <c r="AB58" s="1287"/>
      <c r="AC58" s="1287"/>
      <c r="AD58" s="1287"/>
      <c r="AE58" s="1287"/>
      <c r="AF58" s="1287"/>
      <c r="AG58" s="1287"/>
      <c r="AH58" s="1287"/>
      <c r="AI58" s="1287"/>
      <c r="AJ58" s="1287"/>
      <c r="AK58" s="1287"/>
      <c r="AL58" s="1288"/>
    </row>
    <row r="59" spans="1:39" s="25" customFormat="1" ht="15" customHeight="1">
      <c r="A59" s="1298" t="s">
        <v>382</v>
      </c>
      <c r="B59" s="1299"/>
      <c r="C59" s="1299"/>
      <c r="D59" s="1299"/>
      <c r="E59" s="1299"/>
      <c r="F59" s="1299"/>
      <c r="G59" s="1299"/>
      <c r="H59" s="1299"/>
      <c r="I59" s="1299"/>
      <c r="J59" s="1299"/>
      <c r="K59" s="1299"/>
      <c r="L59" s="1299"/>
      <c r="M59" s="1299"/>
      <c r="N59" s="1299"/>
      <c r="O59" s="1299"/>
      <c r="P59" s="1299"/>
      <c r="Q59" s="1299"/>
      <c r="R59" s="1299"/>
      <c r="S59" s="1299"/>
      <c r="T59" s="1299"/>
      <c r="U59" s="1299"/>
      <c r="V59" s="1299"/>
      <c r="W59" s="1299"/>
      <c r="X59" s="1299"/>
      <c r="Y59" s="1299"/>
      <c r="Z59" s="1299"/>
      <c r="AA59" s="1299"/>
      <c r="AB59" s="1299"/>
      <c r="AC59" s="1299"/>
      <c r="AD59" s="1299"/>
      <c r="AE59" s="1299"/>
      <c r="AF59" s="1299"/>
      <c r="AG59" s="1299"/>
      <c r="AH59" s="1299"/>
      <c r="AI59" s="1299"/>
      <c r="AJ59" s="1299"/>
      <c r="AK59" s="1299"/>
      <c r="AL59" s="1300"/>
      <c r="AM59" s="26"/>
    </row>
    <row r="60" spans="1:39" s="25" customFormat="1" ht="30" customHeight="1">
      <c r="A60" s="1268" t="s">
        <v>433</v>
      </c>
      <c r="B60" s="1269"/>
      <c r="C60" s="1269"/>
      <c r="D60" s="1269"/>
      <c r="E60" s="1269"/>
      <c r="F60" s="1269"/>
      <c r="G60" s="1269"/>
      <c r="H60" s="1269"/>
      <c r="I60" s="1269"/>
      <c r="J60" s="1269"/>
      <c r="K60" s="1269"/>
      <c r="L60" s="1269"/>
      <c r="M60" s="1269"/>
      <c r="N60" s="1269"/>
      <c r="O60" s="1269"/>
      <c r="P60" s="1269"/>
      <c r="Q60" s="1269"/>
      <c r="R60" s="1269"/>
      <c r="S60" s="1269"/>
      <c r="T60" s="1269"/>
      <c r="U60" s="1269"/>
      <c r="V60" s="1269"/>
      <c r="W60" s="1269"/>
      <c r="X60" s="1269"/>
      <c r="Y60" s="1269"/>
      <c r="Z60" s="1269"/>
      <c r="AA60" s="1269"/>
      <c r="AB60" s="1269"/>
      <c r="AC60" s="1269"/>
      <c r="AD60" s="1269"/>
      <c r="AE60" s="1269"/>
      <c r="AF60" s="1269"/>
      <c r="AG60" s="1269"/>
      <c r="AH60" s="1269"/>
      <c r="AI60" s="1269"/>
      <c r="AJ60" s="1269"/>
      <c r="AK60" s="1269"/>
      <c r="AL60" s="1289"/>
    </row>
    <row r="61" spans="1:39" s="25" customFormat="1" ht="15" customHeight="1">
      <c r="A61" s="1221" t="s">
        <v>434</v>
      </c>
      <c r="B61" s="1222"/>
      <c r="C61" s="1222"/>
      <c r="D61" s="1222"/>
      <c r="E61" s="1222"/>
      <c r="F61" s="1222"/>
      <c r="G61" s="1222"/>
      <c r="H61" s="1222"/>
      <c r="I61" s="1222"/>
      <c r="J61" s="1223"/>
      <c r="K61" s="1290" t="s">
        <v>435</v>
      </c>
      <c r="L61" s="1222"/>
      <c r="M61" s="1222"/>
      <c r="N61" s="1222"/>
      <c r="O61" s="1222"/>
      <c r="P61" s="1222"/>
      <c r="Q61" s="1222"/>
      <c r="R61" s="1222"/>
      <c r="S61" s="1222"/>
      <c r="T61" s="1222"/>
      <c r="U61" s="1222"/>
      <c r="V61" s="1222"/>
      <c r="W61" s="1222"/>
      <c r="X61" s="1223"/>
      <c r="Y61" s="1210" t="s">
        <v>436</v>
      </c>
      <c r="Z61" s="1210"/>
      <c r="AA61" s="1210"/>
      <c r="AB61" s="1210"/>
      <c r="AC61" s="1210"/>
      <c r="AD61" s="1210"/>
      <c r="AE61" s="1210"/>
      <c r="AF61" s="1210"/>
      <c r="AG61" s="1210"/>
      <c r="AH61" s="1210"/>
      <c r="AI61" s="1210"/>
      <c r="AJ61" s="1210"/>
      <c r="AK61" s="1210"/>
      <c r="AL61" s="1291"/>
    </row>
    <row r="62" spans="1:39" s="25" customFormat="1" ht="15" customHeight="1">
      <c r="A62" s="1282"/>
      <c r="B62" s="1283"/>
      <c r="C62" s="1283"/>
      <c r="D62" s="1283"/>
      <c r="E62" s="1283"/>
      <c r="F62" s="1283"/>
      <c r="G62" s="1283"/>
      <c r="H62" s="1283"/>
      <c r="I62" s="1283"/>
      <c r="J62" s="1283"/>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5"/>
    </row>
    <row r="63" spans="1:39" s="25" customFormat="1" ht="15" customHeight="1">
      <c r="A63" s="1282"/>
      <c r="B63" s="1283"/>
      <c r="C63" s="1283"/>
      <c r="D63" s="1283"/>
      <c r="E63" s="1283"/>
      <c r="F63" s="1283"/>
      <c r="G63" s="1283"/>
      <c r="H63" s="1283"/>
      <c r="I63" s="1283"/>
      <c r="J63" s="1283"/>
      <c r="K63" s="1284"/>
      <c r="L63" s="1284"/>
      <c r="M63" s="1284"/>
      <c r="N63" s="1284"/>
      <c r="O63" s="1284"/>
      <c r="P63" s="1284"/>
      <c r="Q63" s="1284"/>
      <c r="R63" s="1284"/>
      <c r="S63" s="1284"/>
      <c r="T63" s="1284"/>
      <c r="U63" s="1284"/>
      <c r="V63" s="1284"/>
      <c r="W63" s="1284"/>
      <c r="X63" s="1284"/>
      <c r="Y63" s="1284"/>
      <c r="Z63" s="1284"/>
      <c r="AA63" s="1284"/>
      <c r="AB63" s="1284"/>
      <c r="AC63" s="1284"/>
      <c r="AD63" s="1284"/>
      <c r="AE63" s="1284"/>
      <c r="AF63" s="1284"/>
      <c r="AG63" s="1284"/>
      <c r="AH63" s="1284"/>
      <c r="AI63" s="1284"/>
      <c r="AJ63" s="1284"/>
      <c r="AK63" s="1284"/>
      <c r="AL63" s="1285"/>
    </row>
    <row r="64" spans="1:39" s="25" customFormat="1" ht="15" customHeight="1">
      <c r="A64" s="1282"/>
      <c r="B64" s="1283"/>
      <c r="C64" s="1283"/>
      <c r="D64" s="1283"/>
      <c r="E64" s="1283"/>
      <c r="F64" s="1283"/>
      <c r="G64" s="1283"/>
      <c r="H64" s="1283"/>
      <c r="I64" s="1283"/>
      <c r="J64" s="1283"/>
      <c r="K64" s="1284"/>
      <c r="L64" s="1284"/>
      <c r="M64" s="1284"/>
      <c r="N64" s="1284"/>
      <c r="O64" s="1284"/>
      <c r="P64" s="1284"/>
      <c r="Q64" s="1284"/>
      <c r="R64" s="1284"/>
      <c r="S64" s="1284"/>
      <c r="T64" s="1284"/>
      <c r="U64" s="1284"/>
      <c r="V64" s="1284"/>
      <c r="W64" s="1284"/>
      <c r="X64" s="1284"/>
      <c r="Y64" s="1284"/>
      <c r="Z64" s="1284"/>
      <c r="AA64" s="1284"/>
      <c r="AB64" s="1284"/>
      <c r="AC64" s="1284"/>
      <c r="AD64" s="1284"/>
      <c r="AE64" s="1284"/>
      <c r="AF64" s="1284"/>
      <c r="AG64" s="1284"/>
      <c r="AH64" s="1284"/>
      <c r="AI64" s="1284"/>
      <c r="AJ64" s="1284"/>
      <c r="AK64" s="1284"/>
      <c r="AL64" s="1285"/>
    </row>
    <row r="65" spans="1:39" s="25" customFormat="1" ht="15" customHeight="1">
      <c r="A65" s="1282"/>
      <c r="B65" s="1283"/>
      <c r="C65" s="1283"/>
      <c r="D65" s="1283"/>
      <c r="E65" s="1283"/>
      <c r="F65" s="1283"/>
      <c r="G65" s="1283"/>
      <c r="H65" s="1283"/>
      <c r="I65" s="1283"/>
      <c r="J65" s="1283"/>
      <c r="K65" s="1284"/>
      <c r="L65" s="1284"/>
      <c r="M65" s="1284"/>
      <c r="N65" s="1284"/>
      <c r="O65" s="1284"/>
      <c r="P65" s="1284"/>
      <c r="Q65" s="1284"/>
      <c r="R65" s="1284"/>
      <c r="S65" s="1284"/>
      <c r="T65" s="1284"/>
      <c r="U65" s="1284"/>
      <c r="V65" s="1284"/>
      <c r="W65" s="1284"/>
      <c r="X65" s="1284"/>
      <c r="Y65" s="1284"/>
      <c r="Z65" s="1284"/>
      <c r="AA65" s="1284"/>
      <c r="AB65" s="1284"/>
      <c r="AC65" s="1284"/>
      <c r="AD65" s="1284"/>
      <c r="AE65" s="1284"/>
      <c r="AF65" s="1284"/>
      <c r="AG65" s="1284"/>
      <c r="AH65" s="1284"/>
      <c r="AI65" s="1284"/>
      <c r="AJ65" s="1284"/>
      <c r="AK65" s="1284"/>
      <c r="AL65" s="1285"/>
    </row>
    <row r="66" spans="1:39" s="25" customFormat="1" ht="15" customHeight="1">
      <c r="A66" s="1282"/>
      <c r="B66" s="1283"/>
      <c r="C66" s="1283"/>
      <c r="D66" s="1283"/>
      <c r="E66" s="1283"/>
      <c r="F66" s="1283"/>
      <c r="G66" s="1283"/>
      <c r="H66" s="1283"/>
      <c r="I66" s="1283"/>
      <c r="J66" s="1283"/>
      <c r="K66" s="1284"/>
      <c r="L66" s="1284"/>
      <c r="M66" s="1284"/>
      <c r="N66" s="1284"/>
      <c r="O66" s="1284"/>
      <c r="P66" s="1284"/>
      <c r="Q66" s="1284"/>
      <c r="R66" s="1284"/>
      <c r="S66" s="1284"/>
      <c r="T66" s="1284"/>
      <c r="U66" s="1284"/>
      <c r="V66" s="1284"/>
      <c r="W66" s="1284"/>
      <c r="X66" s="1284"/>
      <c r="Y66" s="1284"/>
      <c r="Z66" s="1284"/>
      <c r="AA66" s="1284"/>
      <c r="AB66" s="1284"/>
      <c r="AC66" s="1284"/>
      <c r="AD66" s="1284"/>
      <c r="AE66" s="1284"/>
      <c r="AF66" s="1284"/>
      <c r="AG66" s="1284"/>
      <c r="AH66" s="1284"/>
      <c r="AI66" s="1284"/>
      <c r="AJ66" s="1284"/>
      <c r="AK66" s="1284"/>
      <c r="AL66" s="1285"/>
    </row>
    <row r="67" spans="1:39" s="25" customFormat="1" ht="15" customHeight="1">
      <c r="A67" s="1292" t="s">
        <v>437</v>
      </c>
      <c r="B67" s="1293"/>
      <c r="C67" s="1293"/>
      <c r="D67" s="1293"/>
      <c r="E67" s="1293"/>
      <c r="F67" s="1293"/>
      <c r="G67" s="1293"/>
      <c r="H67" s="1293"/>
      <c r="I67" s="1293"/>
      <c r="J67" s="1293"/>
      <c r="K67" s="1293"/>
      <c r="L67" s="1293"/>
      <c r="M67" s="1293"/>
      <c r="N67" s="1293"/>
      <c r="O67" s="1293"/>
      <c r="P67" s="1293"/>
      <c r="Q67" s="1293"/>
      <c r="R67" s="1293"/>
      <c r="S67" s="1293"/>
      <c r="T67" s="1293"/>
      <c r="U67" s="1293"/>
      <c r="V67" s="1293"/>
      <c r="W67" s="1293"/>
      <c r="X67" s="1293"/>
      <c r="Y67" s="1293"/>
      <c r="Z67" s="1293"/>
      <c r="AA67" s="1293"/>
      <c r="AB67" s="1293"/>
      <c r="AC67" s="1293"/>
      <c r="AD67" s="1293"/>
      <c r="AE67" s="1293"/>
      <c r="AF67" s="1293"/>
      <c r="AG67" s="1293"/>
      <c r="AH67" s="1293"/>
      <c r="AI67" s="1293"/>
      <c r="AJ67" s="1293"/>
      <c r="AK67" s="1293"/>
      <c r="AL67" s="1294"/>
    </row>
    <row r="68" spans="1:39" s="25" customFormat="1" ht="45" customHeight="1">
      <c r="A68" s="1249"/>
      <c r="B68" s="1250"/>
      <c r="C68" s="1250"/>
      <c r="D68" s="1250"/>
      <c r="E68" s="1250"/>
      <c r="F68" s="1250"/>
      <c r="G68" s="1250"/>
      <c r="H68" s="1250"/>
      <c r="I68" s="1250"/>
      <c r="J68" s="1250"/>
      <c r="K68" s="1250"/>
      <c r="L68" s="1250"/>
      <c r="M68" s="1250"/>
      <c r="N68" s="1250"/>
      <c r="O68" s="1250"/>
      <c r="P68" s="1250"/>
      <c r="Q68" s="1250"/>
      <c r="R68" s="1250"/>
      <c r="S68" s="1250"/>
      <c r="T68" s="1250"/>
      <c r="U68" s="1250"/>
      <c r="V68" s="1250"/>
      <c r="W68" s="1250"/>
      <c r="X68" s="1250"/>
      <c r="Y68" s="1250"/>
      <c r="Z68" s="1250"/>
      <c r="AA68" s="1250"/>
      <c r="AB68" s="1250"/>
      <c r="AC68" s="1250"/>
      <c r="AD68" s="1250"/>
      <c r="AE68" s="1250"/>
      <c r="AF68" s="1250"/>
      <c r="AG68" s="1250"/>
      <c r="AH68" s="1250"/>
      <c r="AI68" s="1250"/>
      <c r="AJ68" s="1250"/>
      <c r="AK68" s="1250"/>
      <c r="AL68" s="1251"/>
    </row>
    <row r="69" spans="1:39" s="25" customFormat="1" ht="30" customHeight="1">
      <c r="A69" s="1295" t="s">
        <v>438</v>
      </c>
      <c r="B69" s="1296"/>
      <c r="C69" s="1296"/>
      <c r="D69" s="1296"/>
      <c r="E69" s="1296"/>
      <c r="F69" s="1296"/>
      <c r="G69" s="1296"/>
      <c r="H69" s="1296"/>
      <c r="I69" s="1296"/>
      <c r="J69" s="1296"/>
      <c r="K69" s="1296"/>
      <c r="L69" s="1296"/>
      <c r="M69" s="1296"/>
      <c r="N69" s="1296"/>
      <c r="O69" s="1296"/>
      <c r="P69" s="1296"/>
      <c r="Q69" s="1296"/>
      <c r="R69" s="1296"/>
      <c r="S69" s="1296"/>
      <c r="T69" s="1296"/>
      <c r="U69" s="1296"/>
      <c r="V69" s="1296"/>
      <c r="W69" s="1296"/>
      <c r="X69" s="1296"/>
      <c r="Y69" s="1296"/>
      <c r="Z69" s="1296"/>
      <c r="AA69" s="1296"/>
      <c r="AB69" s="1296"/>
      <c r="AC69" s="1296"/>
      <c r="AD69" s="1296"/>
      <c r="AE69" s="1296"/>
      <c r="AF69" s="1296"/>
      <c r="AG69" s="1296"/>
      <c r="AH69" s="1296"/>
      <c r="AI69" s="1296"/>
      <c r="AJ69" s="1296"/>
      <c r="AK69" s="1296"/>
      <c r="AL69" s="1297"/>
    </row>
    <row r="70" spans="1:39" s="25" customFormat="1" ht="45" customHeight="1">
      <c r="A70" s="1249"/>
      <c r="B70" s="1250"/>
      <c r="C70" s="1250"/>
      <c r="D70" s="1250"/>
      <c r="E70" s="1250"/>
      <c r="F70" s="1250"/>
      <c r="G70" s="1250"/>
      <c r="H70" s="1250"/>
      <c r="I70" s="1250"/>
      <c r="J70" s="1250"/>
      <c r="K70" s="1250"/>
      <c r="L70" s="1250"/>
      <c r="M70" s="1250"/>
      <c r="N70" s="1250"/>
      <c r="O70" s="1250"/>
      <c r="P70" s="1250"/>
      <c r="Q70" s="1250"/>
      <c r="R70" s="1250"/>
      <c r="S70" s="1250"/>
      <c r="T70" s="1250"/>
      <c r="U70" s="1250"/>
      <c r="V70" s="1250"/>
      <c r="W70" s="1250"/>
      <c r="X70" s="1250"/>
      <c r="Y70" s="1250"/>
      <c r="Z70" s="1250"/>
      <c r="AA70" s="1250"/>
      <c r="AB70" s="1250"/>
      <c r="AC70" s="1250"/>
      <c r="AD70" s="1250"/>
      <c r="AE70" s="1250"/>
      <c r="AF70" s="1250"/>
      <c r="AG70" s="1250"/>
      <c r="AH70" s="1250"/>
      <c r="AI70" s="1250"/>
      <c r="AJ70" s="1250"/>
      <c r="AK70" s="1250"/>
      <c r="AL70" s="1251"/>
    </row>
    <row r="71" spans="1:39" s="25" customFormat="1" ht="15" customHeight="1">
      <c r="A71" s="1298" t="s">
        <v>384</v>
      </c>
      <c r="B71" s="1299"/>
      <c r="C71" s="1299"/>
      <c r="D71" s="1299"/>
      <c r="E71" s="1299"/>
      <c r="F71" s="1299"/>
      <c r="G71" s="1299"/>
      <c r="H71" s="1299"/>
      <c r="I71" s="1299"/>
      <c r="J71" s="1299"/>
      <c r="K71" s="1299"/>
      <c r="L71" s="1299"/>
      <c r="M71" s="1299"/>
      <c r="N71" s="1299"/>
      <c r="O71" s="1299"/>
      <c r="P71" s="1299"/>
      <c r="Q71" s="1299"/>
      <c r="R71" s="1299"/>
      <c r="S71" s="1299"/>
      <c r="T71" s="1299"/>
      <c r="U71" s="1299"/>
      <c r="V71" s="1299"/>
      <c r="W71" s="1299"/>
      <c r="X71" s="1299"/>
      <c r="Y71" s="1299"/>
      <c r="Z71" s="1299"/>
      <c r="AA71" s="1299"/>
      <c r="AB71" s="1299"/>
      <c r="AC71" s="1299"/>
      <c r="AD71" s="1299"/>
      <c r="AE71" s="1299"/>
      <c r="AF71" s="1299"/>
      <c r="AG71" s="1299"/>
      <c r="AH71" s="1299"/>
      <c r="AI71" s="1299"/>
      <c r="AJ71" s="1299"/>
      <c r="AK71" s="1299"/>
      <c r="AL71" s="1300"/>
      <c r="AM71" s="26"/>
    </row>
    <row r="72" spans="1:39" s="25" customFormat="1" ht="15" customHeight="1">
      <c r="A72" s="1301" t="s">
        <v>439</v>
      </c>
      <c r="B72" s="1302"/>
      <c r="C72" s="1302"/>
      <c r="D72" s="1302"/>
      <c r="E72" s="1302"/>
      <c r="F72" s="1302"/>
      <c r="G72" s="1302"/>
      <c r="H72" s="1302"/>
      <c r="I72" s="1302"/>
      <c r="J72" s="1302"/>
      <c r="K72" s="1302"/>
      <c r="L72" s="1302"/>
      <c r="M72" s="1302"/>
      <c r="N72" s="1302"/>
      <c r="O72" s="1302"/>
      <c r="P72" s="1302"/>
      <c r="Q72" s="1302"/>
      <c r="R72" s="1302"/>
      <c r="S72" s="1302"/>
      <c r="T72" s="1302"/>
      <c r="U72" s="1302"/>
      <c r="V72" s="1302"/>
      <c r="W72" s="1302"/>
      <c r="X72" s="1302"/>
      <c r="Y72" s="1302"/>
      <c r="Z72" s="1302"/>
      <c r="AA72" s="1302"/>
      <c r="AB72" s="1302"/>
      <c r="AC72" s="1302"/>
      <c r="AD72" s="1302"/>
      <c r="AE72" s="1302"/>
      <c r="AF72" s="1302"/>
      <c r="AG72" s="1302"/>
      <c r="AH72" s="1302"/>
      <c r="AI72" s="1302"/>
      <c r="AJ72" s="1302"/>
      <c r="AK72" s="1302"/>
      <c r="AL72" s="1303"/>
      <c r="AM72" s="26"/>
    </row>
    <row r="73" spans="1:39" s="25" customFormat="1" ht="15" customHeight="1">
      <c r="A73" s="1209" t="s">
        <v>440</v>
      </c>
      <c r="B73" s="1210"/>
      <c r="C73" s="1210"/>
      <c r="D73" s="1210"/>
      <c r="E73" s="1210"/>
      <c r="F73" s="1290" t="s">
        <v>441</v>
      </c>
      <c r="G73" s="1222"/>
      <c r="H73" s="1222"/>
      <c r="I73" s="1222"/>
      <c r="J73" s="1222"/>
      <c r="K73" s="1222"/>
      <c r="L73" s="1222"/>
      <c r="M73" s="1222"/>
      <c r="N73" s="1222"/>
      <c r="O73" s="1222"/>
      <c r="P73" s="1223"/>
      <c r="Q73" s="1290" t="s">
        <v>442</v>
      </c>
      <c r="R73" s="1222"/>
      <c r="S73" s="1222"/>
      <c r="T73" s="1223"/>
      <c r="U73" s="1290" t="s">
        <v>443</v>
      </c>
      <c r="V73" s="1222"/>
      <c r="W73" s="1223"/>
      <c r="X73" s="1290" t="s">
        <v>444</v>
      </c>
      <c r="Y73" s="1222"/>
      <c r="Z73" s="1222"/>
      <c r="AA73" s="1222"/>
      <c r="AB73" s="1222"/>
      <c r="AC73" s="1210" t="s">
        <v>445</v>
      </c>
      <c r="AD73" s="1210"/>
      <c r="AE73" s="1210"/>
      <c r="AF73" s="1210"/>
      <c r="AG73" s="1210"/>
      <c r="AH73" s="1210"/>
      <c r="AI73" s="1210"/>
      <c r="AJ73" s="1210"/>
      <c r="AK73" s="1210"/>
      <c r="AL73" s="1291"/>
    </row>
    <row r="74" spans="1:39" s="35" customFormat="1" ht="70.5" customHeight="1">
      <c r="A74" s="1304" t="s">
        <v>446</v>
      </c>
      <c r="B74" s="1305"/>
      <c r="C74" s="1305"/>
      <c r="D74" s="1305"/>
      <c r="E74" s="1305"/>
      <c r="F74" s="1307" t="s">
        <v>447</v>
      </c>
      <c r="G74" s="1308"/>
      <c r="H74" s="1308"/>
      <c r="I74" s="1308"/>
      <c r="J74" s="1308"/>
      <c r="K74" s="1308"/>
      <c r="L74" s="1308"/>
      <c r="M74" s="1308"/>
      <c r="N74" s="1308"/>
      <c r="O74" s="1308"/>
      <c r="P74" s="1309"/>
      <c r="Q74" s="1307" t="s">
        <v>448</v>
      </c>
      <c r="R74" s="1308"/>
      <c r="S74" s="1308"/>
      <c r="T74" s="1309"/>
      <c r="U74" s="1307" t="s">
        <v>449</v>
      </c>
      <c r="V74" s="1308"/>
      <c r="W74" s="1309"/>
      <c r="X74" s="1310" t="s">
        <v>450</v>
      </c>
      <c r="Y74" s="1311"/>
      <c r="Z74" s="1311"/>
      <c r="AA74" s="1311"/>
      <c r="AB74" s="1312"/>
      <c r="AC74" s="1305" t="s">
        <v>451</v>
      </c>
      <c r="AD74" s="1305"/>
      <c r="AE74" s="1305"/>
      <c r="AF74" s="1305"/>
      <c r="AG74" s="1305"/>
      <c r="AH74" s="1305"/>
      <c r="AI74" s="1305"/>
      <c r="AJ74" s="1305"/>
      <c r="AK74" s="1305"/>
      <c r="AL74" s="1306"/>
    </row>
    <row r="75" spans="1:39" s="25" customFormat="1" ht="105" customHeight="1">
      <c r="A75" s="1313" t="s">
        <v>452</v>
      </c>
      <c r="B75" s="1314"/>
      <c r="C75" s="1314"/>
      <c r="D75" s="1314"/>
      <c r="E75" s="1314"/>
      <c r="F75" s="1317"/>
      <c r="G75" s="1318"/>
      <c r="H75" s="1318"/>
      <c r="I75" s="1318"/>
      <c r="J75" s="1318"/>
      <c r="K75" s="1318"/>
      <c r="L75" s="1318"/>
      <c r="M75" s="1318"/>
      <c r="N75" s="1318"/>
      <c r="O75" s="1318"/>
      <c r="P75" s="1319"/>
      <c r="Q75" s="1317"/>
      <c r="R75" s="1318"/>
      <c r="S75" s="1318"/>
      <c r="T75" s="1319"/>
      <c r="U75" s="1317"/>
      <c r="V75" s="1318"/>
      <c r="W75" s="1319"/>
      <c r="X75" s="1317"/>
      <c r="Y75" s="1318"/>
      <c r="Z75" s="1318"/>
      <c r="AA75" s="1318"/>
      <c r="AB75" s="1318"/>
      <c r="AC75" s="1250"/>
      <c r="AD75" s="1250"/>
      <c r="AE75" s="1250"/>
      <c r="AF75" s="1250"/>
      <c r="AG75" s="1250"/>
      <c r="AH75" s="1250"/>
      <c r="AI75" s="1250"/>
      <c r="AJ75" s="1250"/>
      <c r="AK75" s="1250"/>
      <c r="AL75" s="1251"/>
    </row>
    <row r="76" spans="1:39" s="26" customFormat="1" ht="105" customHeight="1">
      <c r="A76" s="1315" t="s">
        <v>453</v>
      </c>
      <c r="B76" s="1316"/>
      <c r="C76" s="1316"/>
      <c r="D76" s="1316"/>
      <c r="E76" s="1316"/>
      <c r="F76" s="1317"/>
      <c r="G76" s="1318"/>
      <c r="H76" s="1318"/>
      <c r="I76" s="1318"/>
      <c r="J76" s="1318"/>
      <c r="K76" s="1318"/>
      <c r="L76" s="1318"/>
      <c r="M76" s="1318"/>
      <c r="N76" s="1318"/>
      <c r="O76" s="1318"/>
      <c r="P76" s="1319"/>
      <c r="Q76" s="1317"/>
      <c r="R76" s="1318"/>
      <c r="S76" s="1318"/>
      <c r="T76" s="1319"/>
      <c r="U76" s="1317"/>
      <c r="V76" s="1318"/>
      <c r="W76" s="1319"/>
      <c r="X76" s="1317"/>
      <c r="Y76" s="1318"/>
      <c r="Z76" s="1318"/>
      <c r="AA76" s="1318"/>
      <c r="AB76" s="1318"/>
      <c r="AC76" s="1250"/>
      <c r="AD76" s="1250"/>
      <c r="AE76" s="1250"/>
      <c r="AF76" s="1250"/>
      <c r="AG76" s="1250"/>
      <c r="AH76" s="1250"/>
      <c r="AI76" s="1250"/>
      <c r="AJ76" s="1250"/>
      <c r="AK76" s="1250"/>
      <c r="AL76" s="1251"/>
    </row>
    <row r="77" spans="1:39" s="25" customFormat="1" ht="105" customHeight="1">
      <c r="A77" s="1315" t="s">
        <v>454</v>
      </c>
      <c r="B77" s="1316"/>
      <c r="C77" s="1316"/>
      <c r="D77" s="1316"/>
      <c r="E77" s="1316"/>
      <c r="F77" s="1317"/>
      <c r="G77" s="1318"/>
      <c r="H77" s="1318"/>
      <c r="I77" s="1318"/>
      <c r="J77" s="1318"/>
      <c r="K77" s="1318"/>
      <c r="L77" s="1318"/>
      <c r="M77" s="1318"/>
      <c r="N77" s="1318"/>
      <c r="O77" s="1318"/>
      <c r="P77" s="1319"/>
      <c r="Q77" s="1317"/>
      <c r="R77" s="1318"/>
      <c r="S77" s="1318"/>
      <c r="T77" s="1319"/>
      <c r="U77" s="1317"/>
      <c r="V77" s="1318"/>
      <c r="W77" s="1319"/>
      <c r="X77" s="1317"/>
      <c r="Y77" s="1318"/>
      <c r="Z77" s="1318"/>
      <c r="AA77" s="1318"/>
      <c r="AB77" s="1318"/>
      <c r="AC77" s="1250"/>
      <c r="AD77" s="1250"/>
      <c r="AE77" s="1250"/>
      <c r="AF77" s="1250"/>
      <c r="AG77" s="1250"/>
      <c r="AH77" s="1250"/>
      <c r="AI77" s="1250"/>
      <c r="AJ77" s="1250"/>
      <c r="AK77" s="1250"/>
      <c r="AL77" s="1251"/>
    </row>
    <row r="78" spans="1:39" s="25" customFormat="1" ht="105" customHeight="1">
      <c r="A78" s="1315" t="s">
        <v>455</v>
      </c>
      <c r="B78" s="1316"/>
      <c r="C78" s="1316"/>
      <c r="D78" s="1316"/>
      <c r="E78" s="1316"/>
      <c r="F78" s="1317"/>
      <c r="G78" s="1318"/>
      <c r="H78" s="1318"/>
      <c r="I78" s="1318"/>
      <c r="J78" s="1318"/>
      <c r="K78" s="1318"/>
      <c r="L78" s="1318"/>
      <c r="M78" s="1318"/>
      <c r="N78" s="1318"/>
      <c r="O78" s="1318"/>
      <c r="P78" s="1319"/>
      <c r="Q78" s="1317"/>
      <c r="R78" s="1318"/>
      <c r="S78" s="1318"/>
      <c r="T78" s="1319"/>
      <c r="U78" s="1317"/>
      <c r="V78" s="1318"/>
      <c r="W78" s="1319"/>
      <c r="X78" s="1317"/>
      <c r="Y78" s="1318"/>
      <c r="Z78" s="1318"/>
      <c r="AA78" s="1318"/>
      <c r="AB78" s="1318"/>
      <c r="AC78" s="1250"/>
      <c r="AD78" s="1250"/>
      <c r="AE78" s="1250"/>
      <c r="AF78" s="1250"/>
      <c r="AG78" s="1250"/>
      <c r="AH78" s="1250"/>
      <c r="AI78" s="1250"/>
      <c r="AJ78" s="1250"/>
      <c r="AK78" s="1250"/>
      <c r="AL78" s="1251"/>
    </row>
    <row r="79" spans="1:39" s="25" customFormat="1" ht="105" customHeight="1">
      <c r="A79" s="1315" t="s">
        <v>456</v>
      </c>
      <c r="B79" s="1316"/>
      <c r="C79" s="1316"/>
      <c r="D79" s="1316"/>
      <c r="E79" s="1316"/>
      <c r="F79" s="1317"/>
      <c r="G79" s="1318"/>
      <c r="H79" s="1318"/>
      <c r="I79" s="1318"/>
      <c r="J79" s="1318"/>
      <c r="K79" s="1318"/>
      <c r="L79" s="1318"/>
      <c r="M79" s="1318"/>
      <c r="N79" s="1318"/>
      <c r="O79" s="1318"/>
      <c r="P79" s="1319"/>
      <c r="Q79" s="1317"/>
      <c r="R79" s="1318"/>
      <c r="S79" s="1318"/>
      <c r="T79" s="1319"/>
      <c r="U79" s="1317"/>
      <c r="V79" s="1318"/>
      <c r="W79" s="1319"/>
      <c r="X79" s="1317"/>
      <c r="Y79" s="1318"/>
      <c r="Z79" s="1318"/>
      <c r="AA79" s="1318"/>
      <c r="AB79" s="1318"/>
      <c r="AC79" s="1250"/>
      <c r="AD79" s="1250"/>
      <c r="AE79" s="1250"/>
      <c r="AF79" s="1250"/>
      <c r="AG79" s="1250"/>
      <c r="AH79" s="1250"/>
      <c r="AI79" s="1250"/>
      <c r="AJ79" s="1250"/>
      <c r="AK79" s="1250"/>
      <c r="AL79" s="1251"/>
    </row>
    <row r="80" spans="1:39" s="25" customFormat="1" ht="105" customHeight="1">
      <c r="A80" s="1315" t="s">
        <v>457</v>
      </c>
      <c r="B80" s="1316"/>
      <c r="C80" s="1316"/>
      <c r="D80" s="1316"/>
      <c r="E80" s="1316"/>
      <c r="F80" s="1317"/>
      <c r="G80" s="1318"/>
      <c r="H80" s="1318"/>
      <c r="I80" s="1318"/>
      <c r="J80" s="1318"/>
      <c r="K80" s="1318"/>
      <c r="L80" s="1318"/>
      <c r="M80" s="1318"/>
      <c r="N80" s="1318"/>
      <c r="O80" s="1318"/>
      <c r="P80" s="1319"/>
      <c r="Q80" s="1317"/>
      <c r="R80" s="1318"/>
      <c r="S80" s="1318"/>
      <c r="T80" s="1319"/>
      <c r="U80" s="1317"/>
      <c r="V80" s="1318"/>
      <c r="W80" s="1319"/>
      <c r="X80" s="1317"/>
      <c r="Y80" s="1318"/>
      <c r="Z80" s="1318"/>
      <c r="AA80" s="1318"/>
      <c r="AB80" s="1318"/>
      <c r="AC80" s="1250"/>
      <c r="AD80" s="1250"/>
      <c r="AE80" s="1250"/>
      <c r="AF80" s="1250"/>
      <c r="AG80" s="1250"/>
      <c r="AH80" s="1250"/>
      <c r="AI80" s="1250"/>
      <c r="AJ80" s="1250"/>
      <c r="AK80" s="1250"/>
      <c r="AL80" s="1251"/>
    </row>
    <row r="81" spans="1:39" s="25" customFormat="1" ht="105" customHeight="1">
      <c r="A81" s="1329" t="s">
        <v>458</v>
      </c>
      <c r="B81" s="1330"/>
      <c r="C81" s="1330"/>
      <c r="D81" s="1330"/>
      <c r="E81" s="1330"/>
      <c r="F81" s="1317"/>
      <c r="G81" s="1318"/>
      <c r="H81" s="1318"/>
      <c r="I81" s="1318"/>
      <c r="J81" s="1318"/>
      <c r="K81" s="1318"/>
      <c r="L81" s="1318"/>
      <c r="M81" s="1318"/>
      <c r="N81" s="1318"/>
      <c r="O81" s="1318"/>
      <c r="P81" s="1319"/>
      <c r="Q81" s="1317"/>
      <c r="R81" s="1318"/>
      <c r="S81" s="1318"/>
      <c r="T81" s="1319"/>
      <c r="U81" s="1317"/>
      <c r="V81" s="1318"/>
      <c r="W81" s="1319"/>
      <c r="X81" s="1317"/>
      <c r="Y81" s="1318"/>
      <c r="Z81" s="1318"/>
      <c r="AA81" s="1318"/>
      <c r="AB81" s="1318"/>
      <c r="AC81" s="1250"/>
      <c r="AD81" s="1250"/>
      <c r="AE81" s="1250"/>
      <c r="AF81" s="1250"/>
      <c r="AG81" s="1250"/>
      <c r="AH81" s="1250"/>
      <c r="AI81" s="1250"/>
      <c r="AJ81" s="1250"/>
      <c r="AK81" s="1250"/>
      <c r="AL81" s="1251"/>
    </row>
    <row r="82" spans="1:39" s="25" customFormat="1" ht="105" customHeight="1">
      <c r="A82" s="1329" t="s">
        <v>458</v>
      </c>
      <c r="B82" s="1330"/>
      <c r="C82" s="1330"/>
      <c r="D82" s="1330"/>
      <c r="E82" s="1330"/>
      <c r="F82" s="1317"/>
      <c r="G82" s="1318"/>
      <c r="H82" s="1318"/>
      <c r="I82" s="1318"/>
      <c r="J82" s="1318"/>
      <c r="K82" s="1318"/>
      <c r="L82" s="1318"/>
      <c r="M82" s="1318"/>
      <c r="N82" s="1318"/>
      <c r="O82" s="1318"/>
      <c r="P82" s="1319"/>
      <c r="Q82" s="1317"/>
      <c r="R82" s="1318"/>
      <c r="S82" s="1318"/>
      <c r="T82" s="1319"/>
      <c r="U82" s="1317"/>
      <c r="V82" s="1318"/>
      <c r="W82" s="1319"/>
      <c r="X82" s="1317"/>
      <c r="Y82" s="1318"/>
      <c r="Z82" s="1318"/>
      <c r="AA82" s="1318"/>
      <c r="AB82" s="1318"/>
      <c r="AC82" s="1250"/>
      <c r="AD82" s="1250"/>
      <c r="AE82" s="1250"/>
      <c r="AF82" s="1250"/>
      <c r="AG82" s="1250"/>
      <c r="AH82" s="1250"/>
      <c r="AI82" s="1250"/>
      <c r="AJ82" s="1250"/>
      <c r="AK82" s="1250"/>
      <c r="AL82" s="1251"/>
    </row>
    <row r="83" spans="1:39" s="396" customFormat="1" ht="15" customHeight="1">
      <c r="A83" s="1320" t="s">
        <v>459</v>
      </c>
      <c r="B83" s="1216"/>
      <c r="C83" s="1216"/>
      <c r="D83" s="1216"/>
      <c r="E83" s="1216"/>
      <c r="F83" s="1216"/>
      <c r="G83" s="1216"/>
      <c r="H83" s="1216"/>
      <c r="I83" s="1216"/>
      <c r="J83" s="1216"/>
      <c r="K83" s="1216"/>
      <c r="L83" s="1216"/>
      <c r="M83" s="1216"/>
      <c r="N83" s="1216"/>
      <c r="O83" s="1216"/>
      <c r="P83" s="1216"/>
      <c r="Q83" s="1216"/>
      <c r="R83" s="1216"/>
      <c r="S83" s="1216"/>
      <c r="T83" s="1216"/>
      <c r="U83" s="1216"/>
      <c r="V83" s="1216"/>
      <c r="W83" s="1216"/>
      <c r="X83" s="1216"/>
      <c r="Y83" s="1216"/>
      <c r="Z83" s="1216"/>
      <c r="AA83" s="1216"/>
      <c r="AB83" s="1216"/>
      <c r="AC83" s="1216"/>
      <c r="AD83" s="1216"/>
      <c r="AE83" s="1216"/>
      <c r="AF83" s="1216"/>
      <c r="AG83" s="1216"/>
      <c r="AH83" s="1216"/>
      <c r="AI83" s="1216"/>
      <c r="AJ83" s="1216"/>
      <c r="AK83" s="1216"/>
      <c r="AL83" s="1217"/>
    </row>
    <row r="84" spans="1:39" s="25" customFormat="1" ht="60" customHeight="1">
      <c r="A84" s="1321" t="s">
        <v>460</v>
      </c>
      <c r="B84" s="1322"/>
      <c r="C84" s="1322"/>
      <c r="D84" s="1322"/>
      <c r="E84" s="1322"/>
      <c r="F84" s="1322"/>
      <c r="G84" s="1322"/>
      <c r="H84" s="1322"/>
      <c r="I84" s="1322"/>
      <c r="J84" s="1322"/>
      <c r="K84" s="1322"/>
      <c r="L84" s="1322"/>
      <c r="M84" s="1322"/>
      <c r="N84" s="1322"/>
      <c r="O84" s="1322"/>
      <c r="P84" s="1322"/>
      <c r="Q84" s="1322"/>
      <c r="R84" s="1322"/>
      <c r="S84" s="1322"/>
      <c r="T84" s="1322"/>
      <c r="U84" s="1322"/>
      <c r="V84" s="1322"/>
      <c r="W84" s="1322"/>
      <c r="X84" s="1322"/>
      <c r="Y84" s="1322"/>
      <c r="Z84" s="1322"/>
      <c r="AA84" s="1322"/>
      <c r="AB84" s="1322"/>
      <c r="AC84" s="1322"/>
      <c r="AD84" s="1322"/>
      <c r="AE84" s="1322"/>
      <c r="AF84" s="1322"/>
      <c r="AG84" s="1322"/>
      <c r="AH84" s="1322"/>
      <c r="AI84" s="1322"/>
      <c r="AJ84" s="1322"/>
      <c r="AK84" s="1322"/>
      <c r="AL84" s="1323"/>
    </row>
    <row r="85" spans="1:39" s="25" customFormat="1" ht="60" customHeight="1">
      <c r="A85" s="1324"/>
      <c r="B85" s="1325"/>
      <c r="C85" s="1325"/>
      <c r="D85" s="1325"/>
      <c r="E85" s="1325"/>
      <c r="F85" s="1325"/>
      <c r="G85" s="1325"/>
      <c r="H85" s="1325"/>
      <c r="I85" s="1325"/>
      <c r="J85" s="1325"/>
      <c r="K85" s="1325"/>
      <c r="L85" s="1325"/>
      <c r="M85" s="1325"/>
      <c r="N85" s="1325"/>
      <c r="O85" s="1325"/>
      <c r="P85" s="1325"/>
      <c r="Q85" s="1325"/>
      <c r="R85" s="1325"/>
      <c r="S85" s="1325"/>
      <c r="T85" s="1325"/>
      <c r="U85" s="1325"/>
      <c r="V85" s="1325"/>
      <c r="W85" s="1325"/>
      <c r="X85" s="1325"/>
      <c r="Y85" s="1325"/>
      <c r="Z85" s="1325"/>
      <c r="AA85" s="1325"/>
      <c r="AB85" s="1325"/>
      <c r="AC85" s="1325"/>
      <c r="AD85" s="1325"/>
      <c r="AE85" s="1325"/>
      <c r="AF85" s="1325"/>
      <c r="AG85" s="1325"/>
      <c r="AH85" s="1325"/>
      <c r="AI85" s="1325"/>
      <c r="AJ85" s="1325"/>
      <c r="AK85" s="1325"/>
      <c r="AL85" s="1326"/>
    </row>
    <row r="86" spans="1:39" s="25" customFormat="1" ht="75" customHeight="1">
      <c r="A86" s="1321" t="s">
        <v>461</v>
      </c>
      <c r="B86" s="1322"/>
      <c r="C86" s="1322"/>
      <c r="D86" s="1322"/>
      <c r="E86" s="1322"/>
      <c r="F86" s="1322"/>
      <c r="G86" s="1322"/>
      <c r="H86" s="1322"/>
      <c r="I86" s="1322"/>
      <c r="J86" s="1322"/>
      <c r="K86" s="1322"/>
      <c r="L86" s="1322"/>
      <c r="M86" s="1322"/>
      <c r="N86" s="1322"/>
      <c r="O86" s="1322"/>
      <c r="P86" s="1322"/>
      <c r="Q86" s="1322"/>
      <c r="R86" s="1322"/>
      <c r="S86" s="1322"/>
      <c r="T86" s="1322"/>
      <c r="U86" s="1322"/>
      <c r="V86" s="1322"/>
      <c r="W86" s="1322"/>
      <c r="X86" s="1322"/>
      <c r="Y86" s="1322"/>
      <c r="Z86" s="1322"/>
      <c r="AA86" s="1322"/>
      <c r="AB86" s="1322"/>
      <c r="AC86" s="1322"/>
      <c r="AD86" s="1322"/>
      <c r="AE86" s="1322"/>
      <c r="AF86" s="1322"/>
      <c r="AG86" s="1322"/>
      <c r="AH86" s="1322"/>
      <c r="AI86" s="1322"/>
      <c r="AJ86" s="1322"/>
      <c r="AK86" s="1322"/>
      <c r="AL86" s="1323"/>
    </row>
    <row r="87" spans="1:39" s="26" customFormat="1" ht="60" customHeight="1" thickBot="1">
      <c r="A87" s="1327"/>
      <c r="B87" s="1318"/>
      <c r="C87" s="1318"/>
      <c r="D87" s="1318"/>
      <c r="E87" s="1318"/>
      <c r="F87" s="1318"/>
      <c r="G87" s="1318"/>
      <c r="H87" s="1318"/>
      <c r="I87" s="1318"/>
      <c r="J87" s="1318"/>
      <c r="K87" s="1318"/>
      <c r="L87" s="1318"/>
      <c r="M87" s="1318"/>
      <c r="N87" s="1318"/>
      <c r="O87" s="1318"/>
      <c r="P87" s="1318"/>
      <c r="Q87" s="1318"/>
      <c r="R87" s="1318"/>
      <c r="S87" s="1318"/>
      <c r="T87" s="1318"/>
      <c r="U87" s="1318"/>
      <c r="V87" s="1318"/>
      <c r="W87" s="1318"/>
      <c r="X87" s="1318"/>
      <c r="Y87" s="1318"/>
      <c r="Z87" s="1318"/>
      <c r="AA87" s="1318"/>
      <c r="AB87" s="1318"/>
      <c r="AC87" s="1318"/>
      <c r="AD87" s="1318"/>
      <c r="AE87" s="1318"/>
      <c r="AF87" s="1318"/>
      <c r="AG87" s="1318"/>
      <c r="AH87" s="1318"/>
      <c r="AI87" s="1318"/>
      <c r="AJ87" s="1318"/>
      <c r="AK87" s="1318"/>
      <c r="AL87" s="1328"/>
      <c r="AM87" s="25"/>
    </row>
    <row r="88" spans="1:39" s="25" customFormat="1" ht="18" customHeight="1">
      <c r="A88" s="1227" t="s">
        <v>462</v>
      </c>
      <c r="B88" s="1228"/>
      <c r="C88" s="1228"/>
      <c r="D88" s="1228"/>
      <c r="E88" s="1228"/>
      <c r="F88" s="1228"/>
      <c r="G88" s="1228"/>
      <c r="H88" s="1228"/>
      <c r="I88" s="1228"/>
      <c r="J88" s="1228"/>
      <c r="K88" s="1228"/>
      <c r="L88" s="1228"/>
      <c r="M88" s="1228"/>
      <c r="N88" s="1228"/>
      <c r="O88" s="1228"/>
      <c r="P88" s="1228"/>
      <c r="Q88" s="1228"/>
      <c r="R88" s="1228"/>
      <c r="S88" s="1228"/>
      <c r="T88" s="1228"/>
      <c r="U88" s="1228"/>
      <c r="V88" s="1228"/>
      <c r="W88" s="1228"/>
      <c r="X88" s="1228"/>
      <c r="Y88" s="1228"/>
      <c r="Z88" s="1228"/>
      <c r="AA88" s="1228"/>
      <c r="AB88" s="1228"/>
      <c r="AC88" s="1228"/>
      <c r="AD88" s="1228"/>
      <c r="AE88" s="1228"/>
      <c r="AF88" s="1228"/>
      <c r="AG88" s="1228"/>
      <c r="AH88" s="1228"/>
      <c r="AI88" s="1228"/>
      <c r="AJ88" s="1228"/>
      <c r="AK88" s="1228"/>
      <c r="AL88" s="1229"/>
      <c r="AM88" s="26"/>
    </row>
    <row r="89" spans="1:39" s="25" customFormat="1" ht="15" customHeight="1">
      <c r="A89" s="1298" t="s">
        <v>463</v>
      </c>
      <c r="B89" s="1299"/>
      <c r="C89" s="1299"/>
      <c r="D89" s="1299"/>
      <c r="E89" s="1299"/>
      <c r="F89" s="1299"/>
      <c r="G89" s="1299"/>
      <c r="H89" s="1299"/>
      <c r="I89" s="1299"/>
      <c r="J89" s="1299"/>
      <c r="K89" s="1299"/>
      <c r="L89" s="1299"/>
      <c r="M89" s="1299"/>
      <c r="N89" s="1299"/>
      <c r="O89" s="1299"/>
      <c r="P89" s="1299"/>
      <c r="Q89" s="1299"/>
      <c r="R89" s="1299"/>
      <c r="S89" s="1299"/>
      <c r="T89" s="1299"/>
      <c r="U89" s="1299"/>
      <c r="V89" s="1299"/>
      <c r="W89" s="1299"/>
      <c r="X89" s="1299"/>
      <c r="Y89" s="1299"/>
      <c r="Z89" s="1299"/>
      <c r="AA89" s="1299"/>
      <c r="AB89" s="1299"/>
      <c r="AC89" s="1299"/>
      <c r="AD89" s="1299"/>
      <c r="AE89" s="1299"/>
      <c r="AF89" s="1299"/>
      <c r="AG89" s="1299"/>
      <c r="AH89" s="1299"/>
      <c r="AI89" s="1299"/>
      <c r="AJ89" s="1299"/>
      <c r="AK89" s="1299"/>
      <c r="AL89" s="1300"/>
      <c r="AM89" s="36"/>
    </row>
    <row r="90" spans="1:39" s="25" customFormat="1" ht="30" customHeight="1">
      <c r="A90" s="1321" t="s">
        <v>464</v>
      </c>
      <c r="B90" s="1322"/>
      <c r="C90" s="1322"/>
      <c r="D90" s="1322"/>
      <c r="E90" s="1322"/>
      <c r="F90" s="1322"/>
      <c r="G90" s="1322"/>
      <c r="H90" s="1322"/>
      <c r="I90" s="1322"/>
      <c r="J90" s="1322"/>
      <c r="K90" s="1322"/>
      <c r="L90" s="1322"/>
      <c r="M90" s="1322"/>
      <c r="N90" s="1322"/>
      <c r="O90" s="1322"/>
      <c r="P90" s="1322"/>
      <c r="Q90" s="1322"/>
      <c r="R90" s="1322"/>
      <c r="S90" s="1322"/>
      <c r="T90" s="1322"/>
      <c r="U90" s="1322"/>
      <c r="V90" s="1322"/>
      <c r="W90" s="1322"/>
      <c r="X90" s="1322"/>
      <c r="Y90" s="1322"/>
      <c r="Z90" s="1322"/>
      <c r="AA90" s="1322"/>
      <c r="AB90" s="1322"/>
      <c r="AC90" s="1322"/>
      <c r="AD90" s="1322"/>
      <c r="AE90" s="1322"/>
      <c r="AF90" s="1322"/>
      <c r="AG90" s="1322"/>
      <c r="AH90" s="1322"/>
      <c r="AI90" s="1322"/>
      <c r="AJ90" s="1322"/>
      <c r="AK90" s="1322"/>
      <c r="AL90" s="1323"/>
      <c r="AM90" s="36"/>
    </row>
    <row r="91" spans="1:39" s="25" customFormat="1" ht="60" customHeight="1">
      <c r="A91" s="1327"/>
      <c r="B91" s="1318"/>
      <c r="C91" s="1318"/>
      <c r="D91" s="1318"/>
      <c r="E91" s="1318"/>
      <c r="F91" s="1318"/>
      <c r="G91" s="1318"/>
      <c r="H91" s="1318"/>
      <c r="I91" s="1318"/>
      <c r="J91" s="1318"/>
      <c r="K91" s="1318"/>
      <c r="L91" s="1318"/>
      <c r="M91" s="1318"/>
      <c r="N91" s="1318"/>
      <c r="O91" s="1318"/>
      <c r="P91" s="1318"/>
      <c r="Q91" s="1318"/>
      <c r="R91" s="1318"/>
      <c r="S91" s="1318"/>
      <c r="T91" s="1318"/>
      <c r="U91" s="1318"/>
      <c r="V91" s="1318"/>
      <c r="W91" s="1318"/>
      <c r="X91" s="1318"/>
      <c r="Y91" s="1318"/>
      <c r="Z91" s="1318"/>
      <c r="AA91" s="1318"/>
      <c r="AB91" s="1318"/>
      <c r="AC91" s="1318"/>
      <c r="AD91" s="1318"/>
      <c r="AE91" s="1318"/>
      <c r="AF91" s="1318"/>
      <c r="AG91" s="1318"/>
      <c r="AH91" s="1318"/>
      <c r="AI91" s="1318"/>
      <c r="AJ91" s="1318"/>
      <c r="AK91" s="1318"/>
      <c r="AL91" s="1328"/>
      <c r="AM91" s="36"/>
    </row>
    <row r="92" spans="1:39" s="25" customFormat="1" ht="15" customHeight="1">
      <c r="A92" s="1298" t="s">
        <v>392</v>
      </c>
      <c r="B92" s="1299"/>
      <c r="C92" s="1299"/>
      <c r="D92" s="1299"/>
      <c r="E92" s="1299"/>
      <c r="F92" s="1299"/>
      <c r="G92" s="1299"/>
      <c r="H92" s="1299"/>
      <c r="I92" s="1299"/>
      <c r="J92" s="1299"/>
      <c r="K92" s="1299"/>
      <c r="L92" s="1299"/>
      <c r="M92" s="1299"/>
      <c r="N92" s="1299"/>
      <c r="O92" s="1299"/>
      <c r="P92" s="1299"/>
      <c r="Q92" s="1299"/>
      <c r="R92" s="1299"/>
      <c r="S92" s="1299"/>
      <c r="T92" s="1299"/>
      <c r="U92" s="1299"/>
      <c r="V92" s="1299"/>
      <c r="W92" s="1299"/>
      <c r="X92" s="1299"/>
      <c r="Y92" s="1299"/>
      <c r="Z92" s="1299"/>
      <c r="AA92" s="1299"/>
      <c r="AB92" s="1299"/>
      <c r="AC92" s="1299"/>
      <c r="AD92" s="1299"/>
      <c r="AE92" s="1299"/>
      <c r="AF92" s="1299"/>
      <c r="AG92" s="1299"/>
      <c r="AH92" s="1299"/>
      <c r="AI92" s="1299"/>
      <c r="AJ92" s="1299"/>
      <c r="AK92" s="1299"/>
      <c r="AL92" s="1300"/>
      <c r="AM92" s="36"/>
    </row>
    <row r="93" spans="1:39" s="36" customFormat="1" ht="75" customHeight="1">
      <c r="A93" s="1321" t="s">
        <v>465</v>
      </c>
      <c r="B93" s="1322"/>
      <c r="C93" s="1322"/>
      <c r="D93" s="1322"/>
      <c r="E93" s="1322"/>
      <c r="F93" s="1322"/>
      <c r="G93" s="1322"/>
      <c r="H93" s="1322"/>
      <c r="I93" s="1322"/>
      <c r="J93" s="1322"/>
      <c r="K93" s="1322"/>
      <c r="L93" s="1322"/>
      <c r="M93" s="1322"/>
      <c r="N93" s="1322"/>
      <c r="O93" s="1322"/>
      <c r="P93" s="1322"/>
      <c r="Q93" s="1322"/>
      <c r="R93" s="1322"/>
      <c r="S93" s="1322"/>
      <c r="T93" s="1322"/>
      <c r="U93" s="1322"/>
      <c r="V93" s="1322"/>
      <c r="W93" s="1322"/>
      <c r="X93" s="1322"/>
      <c r="Y93" s="1322"/>
      <c r="Z93" s="1322"/>
      <c r="AA93" s="1322"/>
      <c r="AB93" s="1322"/>
      <c r="AC93" s="1322"/>
      <c r="AD93" s="1322"/>
      <c r="AE93" s="1322"/>
      <c r="AF93" s="1322"/>
      <c r="AG93" s="1322"/>
      <c r="AH93" s="1322"/>
      <c r="AI93" s="1322"/>
      <c r="AJ93" s="1322"/>
      <c r="AK93" s="1322"/>
      <c r="AL93" s="1323"/>
    </row>
    <row r="94" spans="1:39" s="26" customFormat="1" ht="15" customHeight="1">
      <c r="A94" s="1341" t="s">
        <v>466</v>
      </c>
      <c r="B94" s="1342"/>
      <c r="C94" s="1342"/>
      <c r="D94" s="1342"/>
      <c r="E94" s="1342"/>
      <c r="F94" s="1342"/>
      <c r="G94" s="1342"/>
      <c r="H94" s="1342"/>
      <c r="I94" s="1342"/>
      <c r="J94" s="1342"/>
      <c r="K94" s="1342"/>
      <c r="L94" s="1342"/>
      <c r="M94" s="1342"/>
      <c r="N94" s="1342"/>
      <c r="O94" s="1342"/>
      <c r="P94" s="1342"/>
      <c r="Q94" s="1342"/>
      <c r="R94" s="1342"/>
      <c r="S94" s="1342"/>
      <c r="T94" s="1342"/>
      <c r="U94" s="1342"/>
      <c r="V94" s="1342"/>
      <c r="W94" s="1342"/>
      <c r="X94" s="1342"/>
      <c r="Y94" s="1342"/>
      <c r="Z94" s="1342"/>
      <c r="AA94" s="1342"/>
      <c r="AB94" s="1342"/>
      <c r="AC94" s="1342"/>
      <c r="AD94" s="1342"/>
      <c r="AE94" s="1342"/>
      <c r="AF94" s="1342"/>
      <c r="AG94" s="1342"/>
      <c r="AH94" s="1342"/>
      <c r="AI94" s="1342"/>
      <c r="AJ94" s="1342"/>
      <c r="AK94" s="1342"/>
      <c r="AL94" s="1343"/>
    </row>
    <row r="95" spans="1:39" s="26" customFormat="1" ht="30" customHeight="1">
      <c r="A95" s="1331" t="s">
        <v>105</v>
      </c>
      <c r="B95" s="1332"/>
      <c r="C95" s="1332"/>
      <c r="D95" s="1332"/>
      <c r="E95" s="1210" t="s">
        <v>467</v>
      </c>
      <c r="F95" s="1210"/>
      <c r="G95" s="1210"/>
      <c r="H95" s="1210"/>
      <c r="I95" s="1210"/>
      <c r="J95" s="1210"/>
      <c r="K95" s="1210"/>
      <c r="L95" s="1210"/>
      <c r="M95" s="1210"/>
      <c r="N95" s="1210"/>
      <c r="O95" s="1210"/>
      <c r="P95" s="1210"/>
      <c r="Q95" s="1210"/>
      <c r="R95" s="1210"/>
      <c r="S95" s="1210"/>
      <c r="T95" s="1210"/>
      <c r="U95" s="1210"/>
      <c r="V95" s="1210"/>
      <c r="W95" s="1210"/>
      <c r="X95" s="1210"/>
      <c r="Y95" s="1210"/>
      <c r="Z95" s="1333" t="s">
        <v>468</v>
      </c>
      <c r="AA95" s="1333"/>
      <c r="AB95" s="1334">
        <f>SUM(Z97:AC108)</f>
        <v>0</v>
      </c>
      <c r="AC95" s="1335"/>
      <c r="AD95" s="1336" t="s">
        <v>469</v>
      </c>
      <c r="AE95" s="1332"/>
      <c r="AF95" s="1332"/>
      <c r="AG95" s="1332"/>
      <c r="AH95" s="1332"/>
      <c r="AI95" s="1337"/>
      <c r="AJ95" s="1338" t="s">
        <v>470</v>
      </c>
      <c r="AK95" s="1339"/>
      <c r="AL95" s="1340"/>
    </row>
    <row r="96" spans="1:39" s="26" customFormat="1" ht="75" customHeight="1">
      <c r="A96" s="1344" t="s">
        <v>471</v>
      </c>
      <c r="B96" s="1345"/>
      <c r="C96" s="1345"/>
      <c r="D96" s="1345"/>
      <c r="E96" s="1346" t="s">
        <v>472</v>
      </c>
      <c r="F96" s="1346"/>
      <c r="G96" s="1346"/>
      <c r="H96" s="1346"/>
      <c r="I96" s="1346"/>
      <c r="J96" s="1346"/>
      <c r="K96" s="1346"/>
      <c r="L96" s="1346"/>
      <c r="M96" s="1346"/>
      <c r="N96" s="1346"/>
      <c r="O96" s="1346"/>
      <c r="P96" s="1346"/>
      <c r="Q96" s="1346"/>
      <c r="R96" s="1346"/>
      <c r="S96" s="1346"/>
      <c r="T96" s="1346"/>
      <c r="U96" s="1346"/>
      <c r="V96" s="1346"/>
      <c r="W96" s="1346"/>
      <c r="X96" s="1346"/>
      <c r="Y96" s="1346"/>
      <c r="Z96" s="1334" t="s">
        <v>473</v>
      </c>
      <c r="AA96" s="1345"/>
      <c r="AB96" s="1345"/>
      <c r="AC96" s="1335"/>
      <c r="AD96" s="1347" t="s">
        <v>474</v>
      </c>
      <c r="AE96" s="1348"/>
      <c r="AF96" s="1348"/>
      <c r="AG96" s="1348"/>
      <c r="AH96" s="1348"/>
      <c r="AI96" s="1349"/>
      <c r="AJ96" s="1350" t="s">
        <v>475</v>
      </c>
      <c r="AK96" s="1345"/>
      <c r="AL96" s="1351"/>
    </row>
    <row r="97" spans="1:38" s="26" customFormat="1" ht="30" customHeight="1">
      <c r="A97" s="1352"/>
      <c r="B97" s="1353"/>
      <c r="C97" s="1353"/>
      <c r="D97" s="1353"/>
      <c r="E97" s="1250"/>
      <c r="F97" s="1250"/>
      <c r="G97" s="1250"/>
      <c r="H97" s="1250"/>
      <c r="I97" s="1250"/>
      <c r="J97" s="1250"/>
      <c r="K97" s="1250"/>
      <c r="L97" s="1250"/>
      <c r="M97" s="1250"/>
      <c r="N97" s="1250"/>
      <c r="O97" s="1250"/>
      <c r="P97" s="1250"/>
      <c r="Q97" s="1250"/>
      <c r="R97" s="1250"/>
      <c r="S97" s="1250"/>
      <c r="T97" s="1250"/>
      <c r="U97" s="1250"/>
      <c r="V97" s="1250"/>
      <c r="W97" s="1250"/>
      <c r="X97" s="1250"/>
      <c r="Y97" s="1250"/>
      <c r="Z97" s="1354"/>
      <c r="AA97" s="1353"/>
      <c r="AB97" s="1353"/>
      <c r="AC97" s="1355"/>
      <c r="AD97" s="1356"/>
      <c r="AE97" s="1356"/>
      <c r="AF97" s="1356"/>
      <c r="AG97" s="1356"/>
      <c r="AH97" s="1356"/>
      <c r="AI97" s="1356"/>
      <c r="AJ97" s="1357"/>
      <c r="AK97" s="1353"/>
      <c r="AL97" s="1358"/>
    </row>
    <row r="98" spans="1:38" s="26" customFormat="1" ht="30" customHeight="1">
      <c r="A98" s="1352"/>
      <c r="B98" s="1353"/>
      <c r="C98" s="1353"/>
      <c r="D98" s="1353"/>
      <c r="E98" s="1250"/>
      <c r="F98" s="1250"/>
      <c r="G98" s="1250"/>
      <c r="H98" s="1250"/>
      <c r="I98" s="1250"/>
      <c r="J98" s="1250"/>
      <c r="K98" s="1250"/>
      <c r="L98" s="1250"/>
      <c r="M98" s="1250"/>
      <c r="N98" s="1250"/>
      <c r="O98" s="1250"/>
      <c r="P98" s="1250"/>
      <c r="Q98" s="1250"/>
      <c r="R98" s="1250"/>
      <c r="S98" s="1250"/>
      <c r="T98" s="1250"/>
      <c r="U98" s="1250"/>
      <c r="V98" s="1250"/>
      <c r="W98" s="1250"/>
      <c r="X98" s="1250"/>
      <c r="Y98" s="1250"/>
      <c r="Z98" s="1354"/>
      <c r="AA98" s="1353"/>
      <c r="AB98" s="1353"/>
      <c r="AC98" s="1355"/>
      <c r="AD98" s="1356"/>
      <c r="AE98" s="1356"/>
      <c r="AF98" s="1356"/>
      <c r="AG98" s="1356"/>
      <c r="AH98" s="1356"/>
      <c r="AI98" s="1356"/>
      <c r="AJ98" s="1357"/>
      <c r="AK98" s="1353"/>
      <c r="AL98" s="1358"/>
    </row>
    <row r="99" spans="1:38" s="26" customFormat="1" ht="30" customHeight="1">
      <c r="A99" s="1352"/>
      <c r="B99" s="1353"/>
      <c r="C99" s="1353"/>
      <c r="D99" s="1353"/>
      <c r="E99" s="1250"/>
      <c r="F99" s="1250"/>
      <c r="G99" s="1250"/>
      <c r="H99" s="1250"/>
      <c r="I99" s="1250"/>
      <c r="J99" s="1250"/>
      <c r="K99" s="1250"/>
      <c r="L99" s="1250"/>
      <c r="M99" s="1250"/>
      <c r="N99" s="1250"/>
      <c r="O99" s="1250"/>
      <c r="P99" s="1250"/>
      <c r="Q99" s="1250"/>
      <c r="R99" s="1250"/>
      <c r="S99" s="1250"/>
      <c r="T99" s="1250"/>
      <c r="U99" s="1250"/>
      <c r="V99" s="1250"/>
      <c r="W99" s="1250"/>
      <c r="X99" s="1250"/>
      <c r="Y99" s="1250"/>
      <c r="Z99" s="1354"/>
      <c r="AA99" s="1353"/>
      <c r="AB99" s="1353"/>
      <c r="AC99" s="1355"/>
      <c r="AD99" s="1356"/>
      <c r="AE99" s="1356"/>
      <c r="AF99" s="1356"/>
      <c r="AG99" s="1356"/>
      <c r="AH99" s="1356"/>
      <c r="AI99" s="1356"/>
      <c r="AJ99" s="1357"/>
      <c r="AK99" s="1353"/>
      <c r="AL99" s="1358"/>
    </row>
    <row r="100" spans="1:38" s="26" customFormat="1" ht="30" customHeight="1">
      <c r="A100" s="1352"/>
      <c r="B100" s="1353"/>
      <c r="C100" s="1353"/>
      <c r="D100" s="1353"/>
      <c r="E100" s="1250"/>
      <c r="F100" s="1250"/>
      <c r="G100" s="1250"/>
      <c r="H100" s="1250"/>
      <c r="I100" s="1250"/>
      <c r="J100" s="1250"/>
      <c r="K100" s="1250"/>
      <c r="L100" s="1250"/>
      <c r="M100" s="1250"/>
      <c r="N100" s="1250"/>
      <c r="O100" s="1250"/>
      <c r="P100" s="1250"/>
      <c r="Q100" s="1250"/>
      <c r="R100" s="1250"/>
      <c r="S100" s="1250"/>
      <c r="T100" s="1250"/>
      <c r="U100" s="1250"/>
      <c r="V100" s="1250"/>
      <c r="W100" s="1250"/>
      <c r="X100" s="1250"/>
      <c r="Y100" s="1250"/>
      <c r="Z100" s="1354"/>
      <c r="AA100" s="1353"/>
      <c r="AB100" s="1353"/>
      <c r="AC100" s="1355"/>
      <c r="AD100" s="1356"/>
      <c r="AE100" s="1356"/>
      <c r="AF100" s="1356"/>
      <c r="AG100" s="1356"/>
      <c r="AH100" s="1356"/>
      <c r="AI100" s="1356"/>
      <c r="AJ100" s="1357"/>
      <c r="AK100" s="1353"/>
      <c r="AL100" s="1358"/>
    </row>
    <row r="101" spans="1:38" s="26" customFormat="1" ht="30" customHeight="1">
      <c r="A101" s="1352"/>
      <c r="B101" s="1353"/>
      <c r="C101" s="1353"/>
      <c r="D101" s="1353"/>
      <c r="E101" s="1250"/>
      <c r="F101" s="1250"/>
      <c r="G101" s="1250"/>
      <c r="H101" s="1250"/>
      <c r="I101" s="1250"/>
      <c r="J101" s="1250"/>
      <c r="K101" s="1250"/>
      <c r="L101" s="1250"/>
      <c r="M101" s="1250"/>
      <c r="N101" s="1250"/>
      <c r="O101" s="1250"/>
      <c r="P101" s="1250"/>
      <c r="Q101" s="1250"/>
      <c r="R101" s="1250"/>
      <c r="S101" s="1250"/>
      <c r="T101" s="1250"/>
      <c r="U101" s="1250"/>
      <c r="V101" s="1250"/>
      <c r="W101" s="1250"/>
      <c r="X101" s="1250"/>
      <c r="Y101" s="1250"/>
      <c r="Z101" s="1354"/>
      <c r="AA101" s="1353"/>
      <c r="AB101" s="1353"/>
      <c r="AC101" s="1355"/>
      <c r="AD101" s="1356"/>
      <c r="AE101" s="1356"/>
      <c r="AF101" s="1356"/>
      <c r="AG101" s="1356"/>
      <c r="AH101" s="1356"/>
      <c r="AI101" s="1356"/>
      <c r="AJ101" s="1357"/>
      <c r="AK101" s="1353"/>
      <c r="AL101" s="1358"/>
    </row>
    <row r="102" spans="1:38" s="26" customFormat="1" ht="30" customHeight="1">
      <c r="A102" s="1352"/>
      <c r="B102" s="1353"/>
      <c r="C102" s="1353"/>
      <c r="D102" s="1353"/>
      <c r="E102" s="1250"/>
      <c r="F102" s="1250"/>
      <c r="G102" s="1250"/>
      <c r="H102" s="1250"/>
      <c r="I102" s="1250"/>
      <c r="J102" s="1250"/>
      <c r="K102" s="1250"/>
      <c r="L102" s="1250"/>
      <c r="M102" s="1250"/>
      <c r="N102" s="1250"/>
      <c r="O102" s="1250"/>
      <c r="P102" s="1250"/>
      <c r="Q102" s="1250"/>
      <c r="R102" s="1250"/>
      <c r="S102" s="1250"/>
      <c r="T102" s="1250"/>
      <c r="U102" s="1250"/>
      <c r="V102" s="1250"/>
      <c r="W102" s="1250"/>
      <c r="X102" s="1250"/>
      <c r="Y102" s="1250"/>
      <c r="Z102" s="1354"/>
      <c r="AA102" s="1353"/>
      <c r="AB102" s="1353"/>
      <c r="AC102" s="1355"/>
      <c r="AD102" s="1356"/>
      <c r="AE102" s="1356"/>
      <c r="AF102" s="1356"/>
      <c r="AG102" s="1356"/>
      <c r="AH102" s="1356"/>
      <c r="AI102" s="1356"/>
      <c r="AJ102" s="1357"/>
      <c r="AK102" s="1353"/>
      <c r="AL102" s="1358"/>
    </row>
    <row r="103" spans="1:38" s="26" customFormat="1" ht="30" customHeight="1">
      <c r="A103" s="1352"/>
      <c r="B103" s="1353"/>
      <c r="C103" s="1353"/>
      <c r="D103" s="1353"/>
      <c r="E103" s="1250"/>
      <c r="F103" s="1250"/>
      <c r="G103" s="1250"/>
      <c r="H103" s="1250"/>
      <c r="I103" s="1250"/>
      <c r="J103" s="1250"/>
      <c r="K103" s="1250"/>
      <c r="L103" s="1250"/>
      <c r="M103" s="1250"/>
      <c r="N103" s="1250"/>
      <c r="O103" s="1250"/>
      <c r="P103" s="1250"/>
      <c r="Q103" s="1250"/>
      <c r="R103" s="1250"/>
      <c r="S103" s="1250"/>
      <c r="T103" s="1250"/>
      <c r="U103" s="1250"/>
      <c r="V103" s="1250"/>
      <c r="W103" s="1250"/>
      <c r="X103" s="1250"/>
      <c r="Y103" s="1250"/>
      <c r="Z103" s="1354"/>
      <c r="AA103" s="1353"/>
      <c r="AB103" s="1353"/>
      <c r="AC103" s="1355"/>
      <c r="AD103" s="1356"/>
      <c r="AE103" s="1356"/>
      <c r="AF103" s="1356"/>
      <c r="AG103" s="1356"/>
      <c r="AH103" s="1356"/>
      <c r="AI103" s="1356"/>
      <c r="AJ103" s="1357"/>
      <c r="AK103" s="1353"/>
      <c r="AL103" s="1358"/>
    </row>
    <row r="104" spans="1:38" s="26" customFormat="1" ht="30" customHeight="1">
      <c r="A104" s="1352"/>
      <c r="B104" s="1353"/>
      <c r="C104" s="1353"/>
      <c r="D104" s="1353"/>
      <c r="E104" s="1250"/>
      <c r="F104" s="1250"/>
      <c r="G104" s="1250"/>
      <c r="H104" s="1250"/>
      <c r="I104" s="1250"/>
      <c r="J104" s="1250"/>
      <c r="K104" s="1250"/>
      <c r="L104" s="1250"/>
      <c r="M104" s="1250"/>
      <c r="N104" s="1250"/>
      <c r="O104" s="1250"/>
      <c r="P104" s="1250"/>
      <c r="Q104" s="1250"/>
      <c r="R104" s="1250"/>
      <c r="S104" s="1250"/>
      <c r="T104" s="1250"/>
      <c r="U104" s="1250"/>
      <c r="V104" s="1250"/>
      <c r="W104" s="1250"/>
      <c r="X104" s="1250"/>
      <c r="Y104" s="1250"/>
      <c r="Z104" s="1354"/>
      <c r="AA104" s="1353"/>
      <c r="AB104" s="1353"/>
      <c r="AC104" s="1355"/>
      <c r="AD104" s="1356"/>
      <c r="AE104" s="1356"/>
      <c r="AF104" s="1356"/>
      <c r="AG104" s="1356"/>
      <c r="AH104" s="1356"/>
      <c r="AI104" s="1356"/>
      <c r="AJ104" s="1357"/>
      <c r="AK104" s="1353"/>
      <c r="AL104" s="1358"/>
    </row>
    <row r="105" spans="1:38" s="26" customFormat="1" ht="30" customHeight="1">
      <c r="A105" s="1352"/>
      <c r="B105" s="1353"/>
      <c r="C105" s="1353"/>
      <c r="D105" s="1353"/>
      <c r="E105" s="1250"/>
      <c r="F105" s="1250"/>
      <c r="G105" s="1250"/>
      <c r="H105" s="1250"/>
      <c r="I105" s="1250"/>
      <c r="J105" s="1250"/>
      <c r="K105" s="1250"/>
      <c r="L105" s="1250"/>
      <c r="M105" s="1250"/>
      <c r="N105" s="1250"/>
      <c r="O105" s="1250"/>
      <c r="P105" s="1250"/>
      <c r="Q105" s="1250"/>
      <c r="R105" s="1250"/>
      <c r="S105" s="1250"/>
      <c r="T105" s="1250"/>
      <c r="U105" s="1250"/>
      <c r="V105" s="1250"/>
      <c r="W105" s="1250"/>
      <c r="X105" s="1250"/>
      <c r="Y105" s="1250"/>
      <c r="Z105" s="1354"/>
      <c r="AA105" s="1353"/>
      <c r="AB105" s="1353"/>
      <c r="AC105" s="1355"/>
      <c r="AD105" s="1356"/>
      <c r="AE105" s="1356"/>
      <c r="AF105" s="1356"/>
      <c r="AG105" s="1356"/>
      <c r="AH105" s="1356"/>
      <c r="AI105" s="1356"/>
      <c r="AJ105" s="1357"/>
      <c r="AK105" s="1353"/>
      <c r="AL105" s="1358"/>
    </row>
    <row r="106" spans="1:38" s="26" customFormat="1" ht="30" customHeight="1">
      <c r="A106" s="1352"/>
      <c r="B106" s="1353"/>
      <c r="C106" s="1353"/>
      <c r="D106" s="1353"/>
      <c r="E106" s="1250"/>
      <c r="F106" s="1250"/>
      <c r="G106" s="1250"/>
      <c r="H106" s="1250"/>
      <c r="I106" s="1250"/>
      <c r="J106" s="1250"/>
      <c r="K106" s="1250"/>
      <c r="L106" s="1250"/>
      <c r="M106" s="1250"/>
      <c r="N106" s="1250"/>
      <c r="O106" s="1250"/>
      <c r="P106" s="1250"/>
      <c r="Q106" s="1250"/>
      <c r="R106" s="1250"/>
      <c r="S106" s="1250"/>
      <c r="T106" s="1250"/>
      <c r="U106" s="1250"/>
      <c r="V106" s="1250"/>
      <c r="W106" s="1250"/>
      <c r="X106" s="1250"/>
      <c r="Y106" s="1250"/>
      <c r="Z106" s="1354"/>
      <c r="AA106" s="1353"/>
      <c r="AB106" s="1353"/>
      <c r="AC106" s="1355"/>
      <c r="AD106" s="1356"/>
      <c r="AE106" s="1356"/>
      <c r="AF106" s="1356"/>
      <c r="AG106" s="1356"/>
      <c r="AH106" s="1356"/>
      <c r="AI106" s="1356"/>
      <c r="AJ106" s="1357"/>
      <c r="AK106" s="1353"/>
      <c r="AL106" s="1358"/>
    </row>
    <row r="107" spans="1:38" s="26" customFormat="1" ht="30" customHeight="1">
      <c r="A107" s="1352"/>
      <c r="B107" s="1353"/>
      <c r="C107" s="1353"/>
      <c r="D107" s="1353"/>
      <c r="E107" s="1250"/>
      <c r="F107" s="1250"/>
      <c r="G107" s="1250"/>
      <c r="H107" s="1250"/>
      <c r="I107" s="1250"/>
      <c r="J107" s="1250"/>
      <c r="K107" s="1250"/>
      <c r="L107" s="1250"/>
      <c r="M107" s="1250"/>
      <c r="N107" s="1250"/>
      <c r="O107" s="1250"/>
      <c r="P107" s="1250"/>
      <c r="Q107" s="1250"/>
      <c r="R107" s="1250"/>
      <c r="S107" s="1250"/>
      <c r="T107" s="1250"/>
      <c r="U107" s="1250"/>
      <c r="V107" s="1250"/>
      <c r="W107" s="1250"/>
      <c r="X107" s="1250"/>
      <c r="Y107" s="1250"/>
      <c r="Z107" s="1354"/>
      <c r="AA107" s="1353"/>
      <c r="AB107" s="1353"/>
      <c r="AC107" s="1355"/>
      <c r="AD107" s="1356"/>
      <c r="AE107" s="1356"/>
      <c r="AF107" s="1356"/>
      <c r="AG107" s="1356"/>
      <c r="AH107" s="1356"/>
      <c r="AI107" s="1356"/>
      <c r="AJ107" s="1357"/>
      <c r="AK107" s="1353"/>
      <c r="AL107" s="1358"/>
    </row>
    <row r="108" spans="1:38" s="26" customFormat="1" ht="30" customHeight="1">
      <c r="A108" s="1352"/>
      <c r="B108" s="1353"/>
      <c r="C108" s="1353"/>
      <c r="D108" s="1353"/>
      <c r="E108" s="1250"/>
      <c r="F108" s="1250"/>
      <c r="G108" s="1250"/>
      <c r="H108" s="1250"/>
      <c r="I108" s="1250"/>
      <c r="J108" s="1250"/>
      <c r="K108" s="1250"/>
      <c r="L108" s="1250"/>
      <c r="M108" s="1250"/>
      <c r="N108" s="1250"/>
      <c r="O108" s="1250"/>
      <c r="P108" s="1250"/>
      <c r="Q108" s="1250"/>
      <c r="R108" s="1250"/>
      <c r="S108" s="1250"/>
      <c r="T108" s="1250"/>
      <c r="U108" s="1250"/>
      <c r="V108" s="1250"/>
      <c r="W108" s="1250"/>
      <c r="X108" s="1250"/>
      <c r="Y108" s="1250"/>
      <c r="Z108" s="1354"/>
      <c r="AA108" s="1353"/>
      <c r="AB108" s="1353"/>
      <c r="AC108" s="1355"/>
      <c r="AD108" s="1356"/>
      <c r="AE108" s="1356"/>
      <c r="AF108" s="1356"/>
      <c r="AG108" s="1356"/>
      <c r="AH108" s="1356"/>
      <c r="AI108" s="1356"/>
      <c r="AJ108" s="1357"/>
      <c r="AK108" s="1353"/>
      <c r="AL108" s="1358"/>
    </row>
    <row r="109" spans="1:38" s="396" customFormat="1" ht="15" customHeight="1">
      <c r="A109" s="1233" t="s">
        <v>476</v>
      </c>
      <c r="B109" s="1234"/>
      <c r="C109" s="1234"/>
      <c r="D109" s="1234"/>
      <c r="E109" s="1234"/>
      <c r="F109" s="1234"/>
      <c r="G109" s="1234"/>
      <c r="H109" s="1234"/>
      <c r="I109" s="1234"/>
      <c r="J109" s="1234"/>
      <c r="K109" s="1234"/>
      <c r="L109" s="1234"/>
      <c r="M109" s="1234"/>
      <c r="N109" s="1234"/>
      <c r="O109" s="1234"/>
      <c r="P109" s="1234"/>
      <c r="Q109" s="1234"/>
      <c r="R109" s="1234"/>
      <c r="S109" s="1234"/>
      <c r="T109" s="1234"/>
      <c r="U109" s="1234"/>
      <c r="V109" s="1234"/>
      <c r="W109" s="1234"/>
      <c r="X109" s="1234"/>
      <c r="Y109" s="1234"/>
      <c r="Z109" s="1234"/>
      <c r="AA109" s="1234"/>
      <c r="AB109" s="1234"/>
      <c r="AC109" s="1234"/>
      <c r="AD109" s="1234"/>
      <c r="AE109" s="1234"/>
      <c r="AF109" s="1234"/>
      <c r="AG109" s="1234"/>
      <c r="AH109" s="1234"/>
      <c r="AI109" s="1234"/>
      <c r="AJ109" s="1234"/>
      <c r="AK109" s="1234"/>
      <c r="AL109" s="1235"/>
    </row>
    <row r="110" spans="1:38" s="26" customFormat="1" ht="15" customHeight="1">
      <c r="A110" s="1359" t="s">
        <v>477</v>
      </c>
      <c r="B110" s="1207"/>
      <c r="C110" s="1207"/>
      <c r="D110" s="1207"/>
      <c r="E110" s="1207"/>
      <c r="F110" s="1207"/>
      <c r="G110" s="1207"/>
      <c r="H110" s="1207"/>
      <c r="I110" s="1207"/>
      <c r="J110" s="1207"/>
      <c r="K110" s="1207"/>
      <c r="L110" s="1207"/>
      <c r="M110" s="1207"/>
      <c r="N110" s="1207"/>
      <c r="O110" s="1207"/>
      <c r="P110" s="1207"/>
      <c r="Q110" s="1207"/>
      <c r="R110" s="1207"/>
      <c r="S110" s="1207"/>
      <c r="T110" s="1207"/>
      <c r="U110" s="1207"/>
      <c r="V110" s="1207"/>
      <c r="W110" s="1207"/>
      <c r="X110" s="1207"/>
      <c r="Y110" s="1207"/>
      <c r="Z110" s="1207"/>
      <c r="AA110" s="1207"/>
      <c r="AB110" s="1207"/>
      <c r="AC110" s="1207"/>
      <c r="AD110" s="1207"/>
      <c r="AE110" s="1207"/>
      <c r="AF110" s="1207"/>
      <c r="AG110" s="1207"/>
      <c r="AH110" s="1207"/>
      <c r="AI110" s="1207"/>
      <c r="AJ110" s="1207"/>
      <c r="AK110" s="1207"/>
      <c r="AL110" s="1208"/>
    </row>
    <row r="111" spans="1:38" s="26" customFormat="1" ht="15" customHeight="1">
      <c r="A111" s="512" t="s">
        <v>478</v>
      </c>
      <c r="B111" s="1316" t="s">
        <v>479</v>
      </c>
      <c r="C111" s="1316"/>
      <c r="D111" s="1316"/>
      <c r="E111" s="1316"/>
      <c r="F111" s="1316"/>
      <c r="G111" s="1316"/>
      <c r="H111" s="1316"/>
      <c r="I111" s="1316"/>
      <c r="J111" s="1316"/>
      <c r="K111" s="1316"/>
      <c r="L111" s="1316"/>
      <c r="M111" s="1316"/>
      <c r="N111" s="1316"/>
      <c r="O111" s="1316"/>
      <c r="P111" s="1316"/>
      <c r="Q111" s="1316"/>
      <c r="R111" s="1316"/>
      <c r="S111" s="1316"/>
      <c r="T111" s="1316"/>
      <c r="U111" s="1316"/>
      <c r="V111" s="1316"/>
      <c r="W111" s="1316"/>
      <c r="X111" s="1316"/>
      <c r="Y111" s="1316"/>
      <c r="Z111" s="1316"/>
      <c r="AA111" s="1316"/>
      <c r="AB111" s="1316"/>
      <c r="AC111" s="1316"/>
      <c r="AD111" s="1316"/>
      <c r="AE111" s="1316"/>
      <c r="AF111" s="1316"/>
      <c r="AG111" s="1316"/>
      <c r="AH111" s="1316"/>
      <c r="AI111" s="1316"/>
      <c r="AJ111" s="1360">
        <f>'Award, Match, and Revenue'!U25</f>
        <v>0</v>
      </c>
      <c r="AK111" s="1305"/>
      <c r="AL111" s="1306"/>
    </row>
    <row r="112" spans="1:38" s="26" customFormat="1" ht="45" customHeight="1">
      <c r="A112" s="512" t="s">
        <v>480</v>
      </c>
      <c r="B112" s="1316" t="s">
        <v>481</v>
      </c>
      <c r="C112" s="1316"/>
      <c r="D112" s="1316"/>
      <c r="E112" s="1316"/>
      <c r="F112" s="1316"/>
      <c r="G112" s="1316"/>
      <c r="H112" s="1316"/>
      <c r="I112" s="1316"/>
      <c r="J112" s="1316"/>
      <c r="K112" s="1316"/>
      <c r="L112" s="1316"/>
      <c r="M112" s="1316"/>
      <c r="N112" s="1316"/>
      <c r="O112" s="1316"/>
      <c r="P112" s="1316"/>
      <c r="Q112" s="1316"/>
      <c r="R112" s="1316"/>
      <c r="S112" s="1316"/>
      <c r="T112" s="1316"/>
      <c r="U112" s="1316"/>
      <c r="V112" s="1316"/>
      <c r="W112" s="1316"/>
      <c r="X112" s="1316"/>
      <c r="Y112" s="1316"/>
      <c r="Z112" s="1316"/>
      <c r="AA112" s="1316"/>
      <c r="AB112" s="1316"/>
      <c r="AC112" s="1316"/>
      <c r="AD112" s="1316"/>
      <c r="AE112" s="1316"/>
      <c r="AF112" s="1316"/>
      <c r="AG112" s="1316"/>
      <c r="AH112" s="1316"/>
      <c r="AI112" s="1316"/>
      <c r="AJ112" s="1214"/>
      <c r="AK112" s="1214"/>
      <c r="AL112" s="1361"/>
    </row>
    <row r="113" spans="1:38" s="26" customFormat="1" ht="15" customHeight="1">
      <c r="A113" s="511" t="s">
        <v>482</v>
      </c>
      <c r="B113" s="1362" t="s">
        <v>483</v>
      </c>
      <c r="C113" s="1362"/>
      <c r="D113" s="1362"/>
      <c r="E113" s="1362"/>
      <c r="F113" s="1362"/>
      <c r="G113" s="1362"/>
      <c r="H113" s="1362"/>
      <c r="I113" s="1362"/>
      <c r="J113" s="1362"/>
      <c r="K113" s="1362"/>
      <c r="L113" s="1362"/>
      <c r="M113" s="1362"/>
      <c r="N113" s="1362"/>
      <c r="O113" s="1362"/>
      <c r="P113" s="1362"/>
      <c r="Q113" s="1362"/>
      <c r="R113" s="1362"/>
      <c r="S113" s="1362"/>
      <c r="T113" s="1362"/>
      <c r="U113" s="1362"/>
      <c r="V113" s="1362"/>
      <c r="W113" s="1362"/>
      <c r="X113" s="1362"/>
      <c r="Y113" s="1362"/>
      <c r="Z113" s="1362"/>
      <c r="AA113" s="1362"/>
      <c r="AB113" s="1362"/>
      <c r="AC113" s="1362"/>
      <c r="AD113" s="1362"/>
      <c r="AE113" s="1362"/>
      <c r="AF113" s="1362"/>
      <c r="AG113" s="1362"/>
      <c r="AH113" s="1362"/>
      <c r="AI113" s="1362"/>
      <c r="AJ113" s="1210">
        <f>IF(AJ112=0,0,AJ111/AJ112)</f>
        <v>0</v>
      </c>
      <c r="AK113" s="1210"/>
      <c r="AL113" s="1291"/>
    </row>
    <row r="114" spans="1:38" s="26" customFormat="1" ht="15" customHeight="1">
      <c r="A114" s="1368" t="s">
        <v>484</v>
      </c>
      <c r="B114" s="1369"/>
      <c r="C114" s="1369"/>
      <c r="D114" s="1369"/>
      <c r="E114" s="1369"/>
      <c r="F114" s="1369"/>
      <c r="G114" s="1369"/>
      <c r="H114" s="1369"/>
      <c r="I114" s="1369"/>
      <c r="J114" s="1369"/>
      <c r="K114" s="1369"/>
      <c r="L114" s="1369"/>
      <c r="M114" s="1369"/>
      <c r="N114" s="1369"/>
      <c r="O114" s="1369"/>
      <c r="P114" s="1369"/>
      <c r="Q114" s="1369"/>
      <c r="R114" s="1369"/>
      <c r="S114" s="1369"/>
      <c r="T114" s="1369"/>
      <c r="U114" s="1369"/>
      <c r="V114" s="1369"/>
      <c r="W114" s="1369"/>
      <c r="X114" s="1369"/>
      <c r="Y114" s="1369"/>
      <c r="Z114" s="1369"/>
      <c r="AA114" s="1369"/>
      <c r="AB114" s="1369"/>
      <c r="AC114" s="1369"/>
      <c r="AD114" s="1369"/>
      <c r="AE114" s="1369"/>
      <c r="AF114" s="1369"/>
      <c r="AG114" s="1369"/>
      <c r="AH114" s="1369"/>
      <c r="AI114" s="1369"/>
      <c r="AJ114" s="1369"/>
      <c r="AK114" s="1369"/>
      <c r="AL114" s="1370"/>
    </row>
    <row r="115" spans="1:38" s="26" customFormat="1" ht="15" customHeight="1">
      <c r="A115" s="1371" t="s">
        <v>485</v>
      </c>
      <c r="B115" s="1372"/>
      <c r="C115" s="1372"/>
      <c r="D115" s="1372"/>
      <c r="E115" s="1372"/>
      <c r="F115" s="1372"/>
      <c r="G115" s="1373" t="s">
        <v>486</v>
      </c>
      <c r="H115" s="1373"/>
      <c r="I115" s="1373"/>
      <c r="J115" s="1373"/>
      <c r="K115" s="1373"/>
      <c r="L115" s="1373"/>
      <c r="M115" s="1373"/>
      <c r="N115" s="1373"/>
      <c r="O115" s="1373"/>
      <c r="P115" s="1373"/>
      <c r="Q115" s="1373" t="s">
        <v>487</v>
      </c>
      <c r="R115" s="1373"/>
      <c r="S115" s="1373"/>
      <c r="T115" s="1373"/>
      <c r="U115" s="1373"/>
      <c r="V115" s="1373"/>
      <c r="W115" s="1373"/>
      <c r="X115" s="1373"/>
      <c r="Y115" s="1373"/>
      <c r="Z115" s="1373"/>
      <c r="AA115" s="1373"/>
      <c r="AB115" s="1373" t="s">
        <v>488</v>
      </c>
      <c r="AC115" s="1373"/>
      <c r="AD115" s="1373"/>
      <c r="AE115" s="1373"/>
      <c r="AF115" s="1373"/>
      <c r="AG115" s="1373"/>
      <c r="AH115" s="1373"/>
      <c r="AI115" s="1373"/>
      <c r="AJ115" s="1373"/>
      <c r="AK115" s="1373"/>
      <c r="AL115" s="1374"/>
    </row>
    <row r="116" spans="1:38" s="26" customFormat="1" ht="15" customHeight="1" thickBot="1">
      <c r="A116" s="1375" t="s">
        <v>489</v>
      </c>
      <c r="B116" s="1376"/>
      <c r="C116" s="1376"/>
      <c r="D116" s="1376"/>
      <c r="E116" s="1376"/>
      <c r="F116" s="1376"/>
      <c r="G116" s="1377"/>
      <c r="H116" s="1377"/>
      <c r="I116" s="1377"/>
      <c r="J116" s="1377"/>
      <c r="K116" s="1377"/>
      <c r="L116" s="1377"/>
      <c r="M116" s="1377"/>
      <c r="N116" s="1377"/>
      <c r="O116" s="1377"/>
      <c r="P116" s="1377"/>
      <c r="Q116" s="1378"/>
      <c r="R116" s="1379"/>
      <c r="S116" s="1379"/>
      <c r="T116" s="1379"/>
      <c r="U116" s="1379"/>
      <c r="V116" s="1379"/>
      <c r="W116" s="1379"/>
      <c r="X116" s="1379"/>
      <c r="Y116" s="1379"/>
      <c r="Z116" s="1379"/>
      <c r="AA116" s="1380"/>
      <c r="AB116" s="1378"/>
      <c r="AC116" s="1379"/>
      <c r="AD116" s="1379"/>
      <c r="AE116" s="1379"/>
      <c r="AF116" s="1379"/>
      <c r="AG116" s="1379"/>
      <c r="AH116" s="1379"/>
      <c r="AI116" s="1379"/>
      <c r="AJ116" s="1379"/>
      <c r="AK116" s="1379"/>
      <c r="AL116" s="1381"/>
    </row>
    <row r="117" spans="1:38" ht="18" customHeight="1">
      <c r="A117" s="1227" t="s">
        <v>490</v>
      </c>
      <c r="B117" s="1228"/>
      <c r="C117" s="1228"/>
      <c r="D117" s="1228"/>
      <c r="E117" s="1228"/>
      <c r="F117" s="1228"/>
      <c r="G117" s="1228"/>
      <c r="H117" s="1228"/>
      <c r="I117" s="1228"/>
      <c r="J117" s="1228"/>
      <c r="K117" s="1228"/>
      <c r="L117" s="1228"/>
      <c r="M117" s="1228"/>
      <c r="N117" s="1228"/>
      <c r="O117" s="1228"/>
      <c r="P117" s="1228"/>
      <c r="Q117" s="1228"/>
      <c r="R117" s="1228"/>
      <c r="S117" s="1228"/>
      <c r="T117" s="1228"/>
      <c r="U117" s="1228"/>
      <c r="V117" s="1228"/>
      <c r="W117" s="1228"/>
      <c r="X117" s="1228"/>
      <c r="Y117" s="1228"/>
      <c r="Z117" s="1228"/>
      <c r="AA117" s="1228"/>
      <c r="AB117" s="1228"/>
      <c r="AC117" s="1228"/>
      <c r="AD117" s="1228"/>
      <c r="AE117" s="1228"/>
      <c r="AF117" s="1228"/>
      <c r="AG117" s="1228"/>
      <c r="AH117" s="1228"/>
      <c r="AI117" s="1228"/>
      <c r="AJ117" s="1228"/>
      <c r="AK117" s="1228"/>
      <c r="AL117" s="1229"/>
    </row>
    <row r="118" spans="1:38" ht="60" customHeight="1">
      <c r="A118" s="1363" t="s">
        <v>491</v>
      </c>
      <c r="B118" s="1364"/>
      <c r="C118" s="1364"/>
      <c r="D118" s="1364"/>
      <c r="E118" s="1364"/>
      <c r="F118" s="1364"/>
      <c r="G118" s="1364"/>
      <c r="H118" s="1364"/>
      <c r="I118" s="1364"/>
      <c r="J118" s="1364"/>
      <c r="K118" s="1364"/>
      <c r="L118" s="1364"/>
      <c r="M118" s="1364"/>
      <c r="N118" s="1364"/>
      <c r="O118" s="1364"/>
      <c r="P118" s="1364"/>
      <c r="Q118" s="1364"/>
      <c r="R118" s="1364"/>
      <c r="S118" s="1364"/>
      <c r="T118" s="1364"/>
      <c r="U118" s="1364"/>
      <c r="V118" s="1364"/>
      <c r="W118" s="1364"/>
      <c r="X118" s="1364"/>
      <c r="Y118" s="1364"/>
      <c r="Z118" s="1364"/>
      <c r="AA118" s="1364"/>
      <c r="AB118" s="1364"/>
      <c r="AC118" s="1364"/>
      <c r="AD118" s="1364"/>
      <c r="AE118" s="1364"/>
      <c r="AF118" s="1364"/>
      <c r="AG118" s="1364"/>
      <c r="AH118" s="1364"/>
      <c r="AI118" s="1364"/>
      <c r="AJ118" s="1364"/>
      <c r="AK118" s="1364"/>
      <c r="AL118" s="1365"/>
    </row>
    <row r="119" spans="1:38" ht="15" customHeight="1">
      <c r="A119" s="1366" t="s">
        <v>492</v>
      </c>
      <c r="B119" s="1367"/>
      <c r="C119" s="1367"/>
      <c r="D119" s="1367"/>
      <c r="E119" s="1367"/>
      <c r="F119" s="1367"/>
      <c r="G119" s="1367"/>
      <c r="H119" s="1367"/>
      <c r="I119" s="1367"/>
      <c r="J119" s="1367"/>
      <c r="K119" s="1367"/>
      <c r="L119" s="1290" t="s">
        <v>493</v>
      </c>
      <c r="M119" s="1222"/>
      <c r="N119" s="1222"/>
      <c r="O119" s="1222"/>
      <c r="P119" s="1210" t="s">
        <v>494</v>
      </c>
      <c r="Q119" s="1210"/>
      <c r="R119" s="1210"/>
      <c r="S119" s="1210"/>
      <c r="T119" s="1210"/>
      <c r="U119" s="1210"/>
      <c r="V119" s="1210"/>
      <c r="W119" s="1210"/>
      <c r="X119" s="1290"/>
      <c r="Y119" s="1210" t="s">
        <v>94</v>
      </c>
      <c r="Z119" s="1210"/>
      <c r="AA119" s="1210"/>
      <c r="AB119" s="1210"/>
      <c r="AC119" s="1210"/>
      <c r="AD119" s="1210"/>
      <c r="AE119" s="1210"/>
      <c r="AF119" s="1210"/>
      <c r="AG119" s="1210"/>
      <c r="AH119" s="1210" t="s">
        <v>495</v>
      </c>
      <c r="AI119" s="1210"/>
      <c r="AJ119" s="1210"/>
      <c r="AK119" s="1210"/>
      <c r="AL119" s="1291"/>
    </row>
    <row r="120" spans="1:38" ht="15" customHeight="1">
      <c r="A120" s="1382"/>
      <c r="B120" s="1383"/>
      <c r="C120" s="1383"/>
      <c r="D120" s="1383"/>
      <c r="E120" s="1383"/>
      <c r="F120" s="1383"/>
      <c r="G120" s="1383"/>
      <c r="H120" s="1383"/>
      <c r="I120" s="1383"/>
      <c r="J120" s="1383"/>
      <c r="K120" s="1384"/>
      <c r="L120" s="1385"/>
      <c r="M120" s="1386"/>
      <c r="N120" s="1386"/>
      <c r="O120" s="1387"/>
      <c r="P120" s="1284"/>
      <c r="Q120" s="1284"/>
      <c r="R120" s="1284"/>
      <c r="S120" s="1284"/>
      <c r="T120" s="1284"/>
      <c r="U120" s="1284"/>
      <c r="V120" s="1284"/>
      <c r="W120" s="1284"/>
      <c r="X120" s="1388"/>
      <c r="Y120" s="1389"/>
      <c r="Z120" s="1389"/>
      <c r="AA120" s="1389"/>
      <c r="AB120" s="1389"/>
      <c r="AC120" s="1389"/>
      <c r="AD120" s="1389"/>
      <c r="AE120" s="1389"/>
      <c r="AF120" s="1389"/>
      <c r="AG120" s="1389"/>
      <c r="AH120" s="1390">
        <f>IF($L$124=0,0,L120/$L$124)</f>
        <v>0</v>
      </c>
      <c r="AI120" s="1390"/>
      <c r="AJ120" s="1390"/>
      <c r="AK120" s="1390"/>
      <c r="AL120" s="1391"/>
    </row>
    <row r="121" spans="1:38" ht="15" customHeight="1">
      <c r="A121" s="1382"/>
      <c r="B121" s="1383"/>
      <c r="C121" s="1383"/>
      <c r="D121" s="1383"/>
      <c r="E121" s="1383"/>
      <c r="F121" s="1383"/>
      <c r="G121" s="1383"/>
      <c r="H121" s="1383"/>
      <c r="I121" s="1383"/>
      <c r="J121" s="1383"/>
      <c r="K121" s="1384"/>
      <c r="L121" s="1392"/>
      <c r="M121" s="1393"/>
      <c r="N121" s="1393"/>
      <c r="O121" s="1394"/>
      <c r="P121" s="1284"/>
      <c r="Q121" s="1284"/>
      <c r="R121" s="1284"/>
      <c r="S121" s="1284"/>
      <c r="T121" s="1284"/>
      <c r="U121" s="1284"/>
      <c r="V121" s="1284"/>
      <c r="W121" s="1284"/>
      <c r="X121" s="1388"/>
      <c r="Y121" s="1389"/>
      <c r="Z121" s="1389"/>
      <c r="AA121" s="1389"/>
      <c r="AB121" s="1389"/>
      <c r="AC121" s="1389"/>
      <c r="AD121" s="1389"/>
      <c r="AE121" s="1389"/>
      <c r="AF121" s="1389"/>
      <c r="AG121" s="1389"/>
      <c r="AH121" s="1390">
        <f t="shared" ref="AH121:AH123" si="0">IF($L$124=0,0,L121/$L$124)</f>
        <v>0</v>
      </c>
      <c r="AI121" s="1390"/>
      <c r="AJ121" s="1390"/>
      <c r="AK121" s="1390"/>
      <c r="AL121" s="1391"/>
    </row>
    <row r="122" spans="1:38" ht="15" customHeight="1">
      <c r="A122" s="1382"/>
      <c r="B122" s="1383"/>
      <c r="C122" s="1383"/>
      <c r="D122" s="1383"/>
      <c r="E122" s="1383"/>
      <c r="F122" s="1383"/>
      <c r="G122" s="1383"/>
      <c r="H122" s="1383"/>
      <c r="I122" s="1383"/>
      <c r="J122" s="1383"/>
      <c r="K122" s="1384"/>
      <c r="L122" s="1392"/>
      <c r="M122" s="1393"/>
      <c r="N122" s="1393"/>
      <c r="O122" s="1394"/>
      <c r="P122" s="1284"/>
      <c r="Q122" s="1284"/>
      <c r="R122" s="1284"/>
      <c r="S122" s="1284"/>
      <c r="T122" s="1284"/>
      <c r="U122" s="1284"/>
      <c r="V122" s="1284"/>
      <c r="W122" s="1284"/>
      <c r="X122" s="1388"/>
      <c r="Y122" s="1389"/>
      <c r="Z122" s="1389"/>
      <c r="AA122" s="1389"/>
      <c r="AB122" s="1389"/>
      <c r="AC122" s="1389"/>
      <c r="AD122" s="1389"/>
      <c r="AE122" s="1389"/>
      <c r="AF122" s="1389"/>
      <c r="AG122" s="1389"/>
      <c r="AH122" s="1390">
        <f t="shared" si="0"/>
        <v>0</v>
      </c>
      <c r="AI122" s="1390"/>
      <c r="AJ122" s="1390"/>
      <c r="AK122" s="1390"/>
      <c r="AL122" s="1391"/>
    </row>
    <row r="123" spans="1:38" ht="15" customHeight="1">
      <c r="A123" s="1382"/>
      <c r="B123" s="1383"/>
      <c r="C123" s="1383"/>
      <c r="D123" s="1383"/>
      <c r="E123" s="1383"/>
      <c r="F123" s="1383"/>
      <c r="G123" s="1383"/>
      <c r="H123" s="1383"/>
      <c r="I123" s="1383"/>
      <c r="J123" s="1383"/>
      <c r="K123" s="1384"/>
      <c r="L123" s="1395"/>
      <c r="M123" s="1395"/>
      <c r="N123" s="1395"/>
      <c r="O123" s="1395"/>
      <c r="P123" s="1284"/>
      <c r="Q123" s="1284"/>
      <c r="R123" s="1284"/>
      <c r="S123" s="1284"/>
      <c r="T123" s="1284"/>
      <c r="U123" s="1284"/>
      <c r="V123" s="1284"/>
      <c r="W123" s="1284"/>
      <c r="X123" s="1388"/>
      <c r="Y123" s="1389"/>
      <c r="Z123" s="1389"/>
      <c r="AA123" s="1389"/>
      <c r="AB123" s="1389"/>
      <c r="AC123" s="1389"/>
      <c r="AD123" s="1389"/>
      <c r="AE123" s="1389"/>
      <c r="AF123" s="1389"/>
      <c r="AG123" s="1389"/>
      <c r="AH123" s="1390">
        <f t="shared" si="0"/>
        <v>0</v>
      </c>
      <c r="AI123" s="1390"/>
      <c r="AJ123" s="1390"/>
      <c r="AK123" s="1390"/>
      <c r="AL123" s="1391"/>
    </row>
    <row r="124" spans="1:38" ht="15" customHeight="1">
      <c r="A124" s="1396" t="s">
        <v>496</v>
      </c>
      <c r="B124" s="1397"/>
      <c r="C124" s="1397"/>
      <c r="D124" s="1397"/>
      <c r="E124" s="1397"/>
      <c r="F124" s="1397"/>
      <c r="G124" s="1397"/>
      <c r="H124" s="1397"/>
      <c r="I124" s="1397"/>
      <c r="J124" s="1397"/>
      <c r="K124" s="1397"/>
      <c r="L124" s="1398">
        <f>SUM(L120:O123)</f>
        <v>0</v>
      </c>
      <c r="M124" s="1398"/>
      <c r="N124" s="1398"/>
      <c r="O124" s="1398"/>
      <c r="P124" s="1399"/>
      <c r="Q124" s="1399"/>
      <c r="R124" s="1399"/>
      <c r="S124" s="1399"/>
      <c r="T124" s="1399"/>
      <c r="U124" s="1399"/>
      <c r="V124" s="1399"/>
      <c r="W124" s="1399"/>
      <c r="X124" s="1400"/>
      <c r="Y124" s="1401"/>
      <c r="Z124" s="1401"/>
      <c r="AA124" s="1401"/>
      <c r="AB124" s="1401"/>
      <c r="AC124" s="1401"/>
      <c r="AD124" s="1401"/>
      <c r="AE124" s="1401"/>
      <c r="AF124" s="1401"/>
      <c r="AG124" s="1401"/>
      <c r="AH124" s="1402">
        <f t="shared" ref="AH124" si="1">IF($L$124=0,0,L124/$L$124)</f>
        <v>0</v>
      </c>
      <c r="AI124" s="1402"/>
      <c r="AJ124" s="1402"/>
      <c r="AK124" s="1402"/>
      <c r="AL124" s="1403"/>
    </row>
    <row r="125" spans="1:38" ht="15" customHeight="1">
      <c r="A125" s="1271" t="s">
        <v>497</v>
      </c>
      <c r="B125" s="1211"/>
      <c r="C125" s="1211"/>
      <c r="D125" s="1211"/>
      <c r="E125" s="1211"/>
      <c r="F125" s="1211"/>
      <c r="G125" s="1211"/>
      <c r="H125" s="1211"/>
      <c r="I125" s="1211"/>
      <c r="J125" s="1211"/>
      <c r="K125" s="1211"/>
      <c r="L125" s="1404" t="s">
        <v>493</v>
      </c>
      <c r="M125" s="1405"/>
      <c r="N125" s="1405"/>
      <c r="O125" s="1406"/>
      <c r="P125" s="1210" t="s">
        <v>494</v>
      </c>
      <c r="Q125" s="1210"/>
      <c r="R125" s="1210"/>
      <c r="S125" s="1210"/>
      <c r="T125" s="1210"/>
      <c r="U125" s="1210"/>
      <c r="V125" s="1210"/>
      <c r="W125" s="1210"/>
      <c r="X125" s="1290"/>
      <c r="Y125" s="1210" t="s">
        <v>94</v>
      </c>
      <c r="Z125" s="1210"/>
      <c r="AA125" s="1210"/>
      <c r="AB125" s="1210"/>
      <c r="AC125" s="1210"/>
      <c r="AD125" s="1210"/>
      <c r="AE125" s="1210"/>
      <c r="AF125" s="1210"/>
      <c r="AG125" s="1210"/>
      <c r="AH125" s="1210" t="s">
        <v>495</v>
      </c>
      <c r="AI125" s="1210"/>
      <c r="AJ125" s="1210"/>
      <c r="AK125" s="1210"/>
      <c r="AL125" s="1291"/>
    </row>
    <row r="126" spans="1:38" ht="30" customHeight="1">
      <c r="A126" s="1359" t="s">
        <v>498</v>
      </c>
      <c r="B126" s="1207"/>
      <c r="C126" s="1207"/>
      <c r="D126" s="1207"/>
      <c r="E126" s="1207"/>
      <c r="F126" s="1207"/>
      <c r="G126" s="1207"/>
      <c r="H126" s="1207"/>
      <c r="I126" s="1207"/>
      <c r="J126" s="1207"/>
      <c r="K126" s="1207"/>
      <c r="L126" s="1410"/>
      <c r="M126" s="1410"/>
      <c r="N126" s="1410"/>
      <c r="O126" s="1410"/>
      <c r="P126" s="1410"/>
      <c r="Q126" s="1410"/>
      <c r="R126" s="1410"/>
      <c r="S126" s="1410"/>
      <c r="T126" s="1410"/>
      <c r="U126" s="1410"/>
      <c r="V126" s="1410"/>
      <c r="W126" s="1410"/>
      <c r="X126" s="1411"/>
      <c r="Y126" s="1401"/>
      <c r="Z126" s="1401"/>
      <c r="AA126" s="1401"/>
      <c r="AB126" s="1401"/>
      <c r="AC126" s="1401"/>
      <c r="AD126" s="1401"/>
      <c r="AE126" s="1401"/>
      <c r="AF126" s="1401"/>
      <c r="AG126" s="1401"/>
      <c r="AH126" s="1401"/>
      <c r="AI126" s="1401"/>
      <c r="AJ126" s="1401"/>
      <c r="AK126" s="1401"/>
      <c r="AL126" s="1412"/>
    </row>
    <row r="127" spans="1:38">
      <c r="A127" s="1407" t="s">
        <v>499</v>
      </c>
      <c r="B127" s="1408"/>
      <c r="C127" s="1408"/>
      <c r="D127" s="1408"/>
      <c r="E127" s="1408"/>
      <c r="F127" s="1408"/>
      <c r="G127" s="1408"/>
      <c r="H127" s="1408"/>
      <c r="I127" s="397" t="s">
        <v>500</v>
      </c>
      <c r="J127" s="1409"/>
      <c r="K127" s="1409"/>
      <c r="L127" s="1395"/>
      <c r="M127" s="1395"/>
      <c r="N127" s="1395"/>
      <c r="O127" s="1395"/>
      <c r="P127" s="1284"/>
      <c r="Q127" s="1284"/>
      <c r="R127" s="1284"/>
      <c r="S127" s="1284"/>
      <c r="T127" s="1284"/>
      <c r="U127" s="1284"/>
      <c r="V127" s="1284"/>
      <c r="W127" s="1284"/>
      <c r="X127" s="1388"/>
      <c r="Y127" s="1389"/>
      <c r="Z127" s="1389"/>
      <c r="AA127" s="1389"/>
      <c r="AB127" s="1389"/>
      <c r="AC127" s="1389"/>
      <c r="AD127" s="1389"/>
      <c r="AE127" s="1389"/>
      <c r="AF127" s="1389"/>
      <c r="AG127" s="1389"/>
      <c r="AH127" s="1390">
        <f>IF($L$145=0,0,L127/$L$145)</f>
        <v>0</v>
      </c>
      <c r="AI127" s="1390"/>
      <c r="AJ127" s="1390"/>
      <c r="AK127" s="1390"/>
      <c r="AL127" s="1391"/>
    </row>
    <row r="128" spans="1:38">
      <c r="A128" s="1407" t="s">
        <v>499</v>
      </c>
      <c r="B128" s="1408"/>
      <c r="C128" s="1408"/>
      <c r="D128" s="1408"/>
      <c r="E128" s="1408"/>
      <c r="F128" s="1408"/>
      <c r="G128" s="1408"/>
      <c r="H128" s="1408"/>
      <c r="I128" s="397" t="s">
        <v>500</v>
      </c>
      <c r="J128" s="1409"/>
      <c r="K128" s="1409"/>
      <c r="L128" s="1395"/>
      <c r="M128" s="1395"/>
      <c r="N128" s="1395"/>
      <c r="O128" s="1395"/>
      <c r="P128" s="1284"/>
      <c r="Q128" s="1284"/>
      <c r="R128" s="1284"/>
      <c r="S128" s="1284"/>
      <c r="T128" s="1284"/>
      <c r="U128" s="1284"/>
      <c r="V128" s="1284"/>
      <c r="W128" s="1284"/>
      <c r="X128" s="1388"/>
      <c r="Y128" s="1389"/>
      <c r="Z128" s="1389"/>
      <c r="AA128" s="1389"/>
      <c r="AB128" s="1389"/>
      <c r="AC128" s="1389"/>
      <c r="AD128" s="1389"/>
      <c r="AE128" s="1389"/>
      <c r="AF128" s="1389"/>
      <c r="AG128" s="1389"/>
      <c r="AH128" s="1390">
        <f t="shared" ref="AH128:AH145" si="2">IF($L$145=0,0,L128/$L$145)</f>
        <v>0</v>
      </c>
      <c r="AI128" s="1390"/>
      <c r="AJ128" s="1390"/>
      <c r="AK128" s="1390"/>
      <c r="AL128" s="1391"/>
    </row>
    <row r="129" spans="1:38">
      <c r="A129" s="1407" t="s">
        <v>499</v>
      </c>
      <c r="B129" s="1408"/>
      <c r="C129" s="1408"/>
      <c r="D129" s="1408"/>
      <c r="E129" s="1408"/>
      <c r="F129" s="1408"/>
      <c r="G129" s="1408"/>
      <c r="H129" s="1408"/>
      <c r="I129" s="397" t="s">
        <v>500</v>
      </c>
      <c r="J129" s="1409"/>
      <c r="K129" s="1409"/>
      <c r="L129" s="1395"/>
      <c r="M129" s="1395"/>
      <c r="N129" s="1395"/>
      <c r="O129" s="1395"/>
      <c r="P129" s="1284"/>
      <c r="Q129" s="1284"/>
      <c r="R129" s="1284"/>
      <c r="S129" s="1284"/>
      <c r="T129" s="1284"/>
      <c r="U129" s="1284"/>
      <c r="V129" s="1284"/>
      <c r="W129" s="1284"/>
      <c r="X129" s="1388"/>
      <c r="Y129" s="1389"/>
      <c r="Z129" s="1389"/>
      <c r="AA129" s="1389"/>
      <c r="AB129" s="1389"/>
      <c r="AC129" s="1389"/>
      <c r="AD129" s="1389"/>
      <c r="AE129" s="1389"/>
      <c r="AF129" s="1389"/>
      <c r="AG129" s="1389"/>
      <c r="AH129" s="1390">
        <f t="shared" si="2"/>
        <v>0</v>
      </c>
      <c r="AI129" s="1390"/>
      <c r="AJ129" s="1390"/>
      <c r="AK129" s="1390"/>
      <c r="AL129" s="1391"/>
    </row>
    <row r="130" spans="1:38">
      <c r="A130" s="1407" t="s">
        <v>499</v>
      </c>
      <c r="B130" s="1408"/>
      <c r="C130" s="1408"/>
      <c r="D130" s="1408"/>
      <c r="E130" s="1408"/>
      <c r="F130" s="1408"/>
      <c r="G130" s="1408"/>
      <c r="H130" s="1408"/>
      <c r="I130" s="397" t="s">
        <v>500</v>
      </c>
      <c r="J130" s="1409"/>
      <c r="K130" s="1409"/>
      <c r="L130" s="1395"/>
      <c r="M130" s="1395"/>
      <c r="N130" s="1395"/>
      <c r="O130" s="1395"/>
      <c r="P130" s="1284"/>
      <c r="Q130" s="1284"/>
      <c r="R130" s="1284"/>
      <c r="S130" s="1284"/>
      <c r="T130" s="1284"/>
      <c r="U130" s="1284"/>
      <c r="V130" s="1284"/>
      <c r="W130" s="1284"/>
      <c r="X130" s="1388"/>
      <c r="Y130" s="1389"/>
      <c r="Z130" s="1389"/>
      <c r="AA130" s="1389"/>
      <c r="AB130" s="1389"/>
      <c r="AC130" s="1389"/>
      <c r="AD130" s="1389"/>
      <c r="AE130" s="1389"/>
      <c r="AF130" s="1389"/>
      <c r="AG130" s="1389"/>
      <c r="AH130" s="1390">
        <f t="shared" si="2"/>
        <v>0</v>
      </c>
      <c r="AI130" s="1390"/>
      <c r="AJ130" s="1390"/>
      <c r="AK130" s="1390"/>
      <c r="AL130" s="1391"/>
    </row>
    <row r="131" spans="1:38">
      <c r="A131" s="1413" t="s">
        <v>501</v>
      </c>
      <c r="B131" s="1414"/>
      <c r="C131" s="1414"/>
      <c r="D131" s="1414"/>
      <c r="E131" s="1414"/>
      <c r="F131" s="1414"/>
      <c r="G131" s="1414"/>
      <c r="H131" s="1414"/>
      <c r="I131" s="1414"/>
      <c r="J131" s="1414"/>
      <c r="K131" s="1414"/>
      <c r="L131" s="1395"/>
      <c r="M131" s="1395"/>
      <c r="N131" s="1395"/>
      <c r="O131" s="1395"/>
      <c r="P131" s="1284"/>
      <c r="Q131" s="1284"/>
      <c r="R131" s="1284"/>
      <c r="S131" s="1284"/>
      <c r="T131" s="1284"/>
      <c r="U131" s="1284"/>
      <c r="V131" s="1284"/>
      <c r="W131" s="1284"/>
      <c r="X131" s="1388"/>
      <c r="Y131" s="1389"/>
      <c r="Z131" s="1389"/>
      <c r="AA131" s="1389"/>
      <c r="AB131" s="1389"/>
      <c r="AC131" s="1389"/>
      <c r="AD131" s="1389"/>
      <c r="AE131" s="1389"/>
      <c r="AF131" s="1389"/>
      <c r="AG131" s="1389"/>
      <c r="AH131" s="1390">
        <f t="shared" si="2"/>
        <v>0</v>
      </c>
      <c r="AI131" s="1390"/>
      <c r="AJ131" s="1390"/>
      <c r="AK131" s="1390"/>
      <c r="AL131" s="1391"/>
    </row>
    <row r="132" spans="1:38">
      <c r="A132" s="1396" t="s">
        <v>502</v>
      </c>
      <c r="B132" s="1397"/>
      <c r="C132" s="1397"/>
      <c r="D132" s="1397"/>
      <c r="E132" s="1397"/>
      <c r="F132" s="1397"/>
      <c r="G132" s="1397"/>
      <c r="H132" s="1397"/>
      <c r="I132" s="1397"/>
      <c r="J132" s="1397"/>
      <c r="K132" s="1397"/>
      <c r="L132" s="1415">
        <f>SUM(L127:O131)</f>
        <v>0</v>
      </c>
      <c r="M132" s="1416"/>
      <c r="N132" s="1416"/>
      <c r="O132" s="1417"/>
      <c r="P132" s="1418"/>
      <c r="Q132" s="1419"/>
      <c r="R132" s="1419"/>
      <c r="S132" s="1419"/>
      <c r="T132" s="1419"/>
      <c r="U132" s="1419"/>
      <c r="V132" s="1419"/>
      <c r="W132" s="1419"/>
      <c r="X132" s="1419"/>
      <c r="Y132" s="1401"/>
      <c r="Z132" s="1401"/>
      <c r="AA132" s="1401"/>
      <c r="AB132" s="1401"/>
      <c r="AC132" s="1401"/>
      <c r="AD132" s="1401"/>
      <c r="AE132" s="1401"/>
      <c r="AF132" s="1401"/>
      <c r="AG132" s="1401"/>
      <c r="AH132" s="1402">
        <f t="shared" si="2"/>
        <v>0</v>
      </c>
      <c r="AI132" s="1402"/>
      <c r="AJ132" s="1402"/>
      <c r="AK132" s="1402"/>
      <c r="AL132" s="1403"/>
    </row>
    <row r="133" spans="1:38">
      <c r="A133" s="1420" t="s">
        <v>503</v>
      </c>
      <c r="B133" s="1421"/>
      <c r="C133" s="1421"/>
      <c r="D133" s="1421"/>
      <c r="E133" s="1421"/>
      <c r="F133" s="1421"/>
      <c r="G133" s="1421"/>
      <c r="H133" s="1421"/>
      <c r="I133" s="1421"/>
      <c r="J133" s="1421"/>
      <c r="K133" s="1421"/>
      <c r="L133" s="1395"/>
      <c r="M133" s="1395"/>
      <c r="N133" s="1395"/>
      <c r="O133" s="1395"/>
      <c r="P133" s="1388"/>
      <c r="Q133" s="1283"/>
      <c r="R133" s="1283"/>
      <c r="S133" s="1283"/>
      <c r="T133" s="1283"/>
      <c r="U133" s="1283"/>
      <c r="V133" s="1283"/>
      <c r="W133" s="1283"/>
      <c r="X133" s="1283"/>
      <c r="Y133" s="1389"/>
      <c r="Z133" s="1389"/>
      <c r="AA133" s="1389"/>
      <c r="AB133" s="1389"/>
      <c r="AC133" s="1389"/>
      <c r="AD133" s="1389"/>
      <c r="AE133" s="1389"/>
      <c r="AF133" s="1389"/>
      <c r="AG133" s="1389"/>
      <c r="AH133" s="1390">
        <f t="shared" si="2"/>
        <v>0</v>
      </c>
      <c r="AI133" s="1390"/>
      <c r="AJ133" s="1390"/>
      <c r="AK133" s="1390"/>
      <c r="AL133" s="1391"/>
    </row>
    <row r="134" spans="1:38">
      <c r="A134" s="1422" t="s">
        <v>504</v>
      </c>
      <c r="B134" s="1423"/>
      <c r="C134" s="1423"/>
      <c r="D134" s="1423"/>
      <c r="E134" s="1423"/>
      <c r="F134" s="1423"/>
      <c r="G134" s="1423"/>
      <c r="H134" s="1423"/>
      <c r="I134" s="1423"/>
      <c r="J134" s="1423"/>
      <c r="K134" s="1424"/>
      <c r="L134" s="1395"/>
      <c r="M134" s="1395"/>
      <c r="N134" s="1395"/>
      <c r="O134" s="1395"/>
      <c r="P134" s="1388"/>
      <c r="Q134" s="1283"/>
      <c r="R134" s="1283"/>
      <c r="S134" s="1283"/>
      <c r="T134" s="1283"/>
      <c r="U134" s="1283"/>
      <c r="V134" s="1283"/>
      <c r="W134" s="1283"/>
      <c r="X134" s="1283"/>
      <c r="Y134" s="1389"/>
      <c r="Z134" s="1389"/>
      <c r="AA134" s="1389"/>
      <c r="AB134" s="1389"/>
      <c r="AC134" s="1389"/>
      <c r="AD134" s="1389"/>
      <c r="AE134" s="1389"/>
      <c r="AF134" s="1389"/>
      <c r="AG134" s="1389"/>
      <c r="AH134" s="1390">
        <f t="shared" si="2"/>
        <v>0</v>
      </c>
      <c r="AI134" s="1390"/>
      <c r="AJ134" s="1390"/>
      <c r="AK134" s="1390"/>
      <c r="AL134" s="1391"/>
    </row>
    <row r="135" spans="1:38">
      <c r="A135" s="1425" t="s">
        <v>505</v>
      </c>
      <c r="B135" s="1426"/>
      <c r="C135" s="1426"/>
      <c r="D135" s="1426"/>
      <c r="E135" s="1426"/>
      <c r="F135" s="1426"/>
      <c r="G135" s="1426"/>
      <c r="H135" s="1426"/>
      <c r="I135" s="1426"/>
      <c r="J135" s="1426"/>
      <c r="K135" s="1426"/>
      <c r="L135" s="1395"/>
      <c r="M135" s="1395"/>
      <c r="N135" s="1395"/>
      <c r="O135" s="1395"/>
      <c r="P135" s="1388"/>
      <c r="Q135" s="1283"/>
      <c r="R135" s="1283"/>
      <c r="S135" s="1283"/>
      <c r="T135" s="1283"/>
      <c r="U135" s="1283"/>
      <c r="V135" s="1283"/>
      <c r="W135" s="1283"/>
      <c r="X135" s="1283"/>
      <c r="Y135" s="1389"/>
      <c r="Z135" s="1389"/>
      <c r="AA135" s="1389"/>
      <c r="AB135" s="1389"/>
      <c r="AC135" s="1389"/>
      <c r="AD135" s="1389"/>
      <c r="AE135" s="1389"/>
      <c r="AF135" s="1389"/>
      <c r="AG135" s="1389"/>
      <c r="AH135" s="1390">
        <f t="shared" si="2"/>
        <v>0</v>
      </c>
      <c r="AI135" s="1390"/>
      <c r="AJ135" s="1390"/>
      <c r="AK135" s="1390"/>
      <c r="AL135" s="1391"/>
    </row>
    <row r="136" spans="1:38">
      <c r="A136" s="1425" t="s">
        <v>506</v>
      </c>
      <c r="B136" s="1426"/>
      <c r="C136" s="1426"/>
      <c r="D136" s="1426"/>
      <c r="E136" s="1426"/>
      <c r="F136" s="1426"/>
      <c r="G136" s="1426"/>
      <c r="H136" s="1426"/>
      <c r="I136" s="1426"/>
      <c r="J136" s="1426"/>
      <c r="K136" s="1426"/>
      <c r="L136" s="1395"/>
      <c r="M136" s="1395"/>
      <c r="N136" s="1395"/>
      <c r="O136" s="1395"/>
      <c r="P136" s="1388"/>
      <c r="Q136" s="1283"/>
      <c r="R136" s="1283"/>
      <c r="S136" s="1283"/>
      <c r="T136" s="1283"/>
      <c r="U136" s="1283"/>
      <c r="V136" s="1283"/>
      <c r="W136" s="1283"/>
      <c r="X136" s="1283"/>
      <c r="Y136" s="1389"/>
      <c r="Z136" s="1389"/>
      <c r="AA136" s="1389"/>
      <c r="AB136" s="1389"/>
      <c r="AC136" s="1389"/>
      <c r="AD136" s="1389"/>
      <c r="AE136" s="1389"/>
      <c r="AF136" s="1389"/>
      <c r="AG136" s="1389"/>
      <c r="AH136" s="1390">
        <f t="shared" si="2"/>
        <v>0</v>
      </c>
      <c r="AI136" s="1390"/>
      <c r="AJ136" s="1390"/>
      <c r="AK136" s="1390"/>
      <c r="AL136" s="1391"/>
    </row>
    <row r="137" spans="1:38">
      <c r="A137" s="1425" t="s">
        <v>507</v>
      </c>
      <c r="B137" s="1426"/>
      <c r="C137" s="1426"/>
      <c r="D137" s="1426"/>
      <c r="E137" s="1426"/>
      <c r="F137" s="1426"/>
      <c r="G137" s="1426"/>
      <c r="H137" s="1426"/>
      <c r="I137" s="1426"/>
      <c r="J137" s="1426"/>
      <c r="K137" s="1426"/>
      <c r="L137" s="1395"/>
      <c r="M137" s="1395"/>
      <c r="N137" s="1395"/>
      <c r="O137" s="1395"/>
      <c r="P137" s="1388"/>
      <c r="Q137" s="1283"/>
      <c r="R137" s="1283"/>
      <c r="S137" s="1283"/>
      <c r="T137" s="1283"/>
      <c r="U137" s="1283"/>
      <c r="V137" s="1283"/>
      <c r="W137" s="1283"/>
      <c r="X137" s="1283"/>
      <c r="Y137" s="1389"/>
      <c r="Z137" s="1389"/>
      <c r="AA137" s="1389"/>
      <c r="AB137" s="1389"/>
      <c r="AC137" s="1389"/>
      <c r="AD137" s="1389"/>
      <c r="AE137" s="1389"/>
      <c r="AF137" s="1389"/>
      <c r="AG137" s="1389"/>
      <c r="AH137" s="1390">
        <f t="shared" si="2"/>
        <v>0</v>
      </c>
      <c r="AI137" s="1390"/>
      <c r="AJ137" s="1390"/>
      <c r="AK137" s="1390"/>
      <c r="AL137" s="1391"/>
    </row>
    <row r="138" spans="1:38" ht="30" customHeight="1">
      <c r="A138" s="1427" t="s">
        <v>508</v>
      </c>
      <c r="B138" s="1428"/>
      <c r="C138" s="1428"/>
      <c r="D138" s="1428"/>
      <c r="E138" s="1428"/>
      <c r="F138" s="1428"/>
      <c r="G138" s="1428"/>
      <c r="H138" s="1428"/>
      <c r="I138" s="1428"/>
      <c r="J138" s="1428"/>
      <c r="K138" s="1428"/>
      <c r="L138" s="1395"/>
      <c r="M138" s="1395"/>
      <c r="N138" s="1395"/>
      <c r="O138" s="1395"/>
      <c r="P138" s="1388"/>
      <c r="Q138" s="1283"/>
      <c r="R138" s="1283"/>
      <c r="S138" s="1283"/>
      <c r="T138" s="1283"/>
      <c r="U138" s="1283"/>
      <c r="V138" s="1283"/>
      <c r="W138" s="1283"/>
      <c r="X138" s="1283"/>
      <c r="Y138" s="1389"/>
      <c r="Z138" s="1389"/>
      <c r="AA138" s="1389"/>
      <c r="AB138" s="1389"/>
      <c r="AC138" s="1389"/>
      <c r="AD138" s="1389"/>
      <c r="AE138" s="1389"/>
      <c r="AF138" s="1389"/>
      <c r="AG138" s="1389"/>
      <c r="AH138" s="1390">
        <f t="shared" si="2"/>
        <v>0</v>
      </c>
      <c r="AI138" s="1390"/>
      <c r="AJ138" s="1390"/>
      <c r="AK138" s="1390"/>
      <c r="AL138" s="1391"/>
    </row>
    <row r="139" spans="1:38">
      <c r="A139" s="1425" t="s">
        <v>509</v>
      </c>
      <c r="B139" s="1426"/>
      <c r="C139" s="1426"/>
      <c r="D139" s="1426"/>
      <c r="E139" s="1426"/>
      <c r="F139" s="1426"/>
      <c r="G139" s="1426"/>
      <c r="H139" s="1426"/>
      <c r="I139" s="1426"/>
      <c r="J139" s="1426"/>
      <c r="K139" s="1426"/>
      <c r="L139" s="1395"/>
      <c r="M139" s="1395"/>
      <c r="N139" s="1395"/>
      <c r="O139" s="1395"/>
      <c r="P139" s="1388"/>
      <c r="Q139" s="1283"/>
      <c r="R139" s="1283"/>
      <c r="S139" s="1283"/>
      <c r="T139" s="1283"/>
      <c r="U139" s="1283"/>
      <c r="V139" s="1283"/>
      <c r="W139" s="1283"/>
      <c r="X139" s="1283"/>
      <c r="Y139" s="1389"/>
      <c r="Z139" s="1389"/>
      <c r="AA139" s="1389"/>
      <c r="AB139" s="1389"/>
      <c r="AC139" s="1389"/>
      <c r="AD139" s="1389"/>
      <c r="AE139" s="1389"/>
      <c r="AF139" s="1389"/>
      <c r="AG139" s="1389"/>
      <c r="AH139" s="1390">
        <f t="shared" si="2"/>
        <v>0</v>
      </c>
      <c r="AI139" s="1390"/>
      <c r="AJ139" s="1390"/>
      <c r="AK139" s="1390"/>
      <c r="AL139" s="1391"/>
    </row>
    <row r="140" spans="1:38">
      <c r="A140" s="1429" t="s">
        <v>510</v>
      </c>
      <c r="B140" s="1430"/>
      <c r="C140" s="1430"/>
      <c r="D140" s="1430"/>
      <c r="E140" s="1430"/>
      <c r="F140" s="1430"/>
      <c r="G140" s="1430"/>
      <c r="H140" s="1430"/>
      <c r="I140" s="1430"/>
      <c r="J140" s="1430"/>
      <c r="K140" s="1431"/>
      <c r="L140" s="1395"/>
      <c r="M140" s="1395"/>
      <c r="N140" s="1395"/>
      <c r="O140" s="1395"/>
      <c r="P140" s="1388"/>
      <c r="Q140" s="1283"/>
      <c r="R140" s="1283"/>
      <c r="S140" s="1283"/>
      <c r="T140" s="1283"/>
      <c r="U140" s="1283"/>
      <c r="V140" s="1283"/>
      <c r="W140" s="1283"/>
      <c r="X140" s="1283"/>
      <c r="Y140" s="1389"/>
      <c r="Z140" s="1389"/>
      <c r="AA140" s="1389"/>
      <c r="AB140" s="1389"/>
      <c r="AC140" s="1389"/>
      <c r="AD140" s="1389"/>
      <c r="AE140" s="1389"/>
      <c r="AF140" s="1389"/>
      <c r="AG140" s="1389"/>
      <c r="AH140" s="1390">
        <f t="shared" si="2"/>
        <v>0</v>
      </c>
      <c r="AI140" s="1390"/>
      <c r="AJ140" s="1390"/>
      <c r="AK140" s="1390"/>
      <c r="AL140" s="1391"/>
    </row>
    <row r="141" spans="1:38">
      <c r="A141" s="1429" t="s">
        <v>511</v>
      </c>
      <c r="B141" s="1430"/>
      <c r="C141" s="1430"/>
      <c r="D141" s="1430"/>
      <c r="E141" s="1430"/>
      <c r="F141" s="1430"/>
      <c r="G141" s="1430"/>
      <c r="H141" s="1430"/>
      <c r="I141" s="1430"/>
      <c r="J141" s="1430"/>
      <c r="K141" s="1431"/>
      <c r="L141" s="1395"/>
      <c r="M141" s="1395"/>
      <c r="N141" s="1395"/>
      <c r="O141" s="1395"/>
      <c r="P141" s="1388"/>
      <c r="Q141" s="1283"/>
      <c r="R141" s="1283"/>
      <c r="S141" s="1283"/>
      <c r="T141" s="1283"/>
      <c r="U141" s="1283"/>
      <c r="V141" s="1283"/>
      <c r="W141" s="1283"/>
      <c r="X141" s="1283"/>
      <c r="Y141" s="1389"/>
      <c r="Z141" s="1389"/>
      <c r="AA141" s="1389"/>
      <c r="AB141" s="1389"/>
      <c r="AC141" s="1389"/>
      <c r="AD141" s="1389"/>
      <c r="AE141" s="1389"/>
      <c r="AF141" s="1389"/>
      <c r="AG141" s="1389"/>
      <c r="AH141" s="1390">
        <f t="shared" si="2"/>
        <v>0</v>
      </c>
      <c r="AI141" s="1390"/>
      <c r="AJ141" s="1390"/>
      <c r="AK141" s="1390"/>
      <c r="AL141" s="1391"/>
    </row>
    <row r="142" spans="1:38">
      <c r="A142" s="1429" t="s">
        <v>512</v>
      </c>
      <c r="B142" s="1430"/>
      <c r="C142" s="1430"/>
      <c r="D142" s="1430"/>
      <c r="E142" s="1430"/>
      <c r="F142" s="1430"/>
      <c r="G142" s="1430"/>
      <c r="H142" s="1430"/>
      <c r="I142" s="1430"/>
      <c r="J142" s="1430"/>
      <c r="K142" s="1431"/>
      <c r="L142" s="1395"/>
      <c r="M142" s="1395"/>
      <c r="N142" s="1395"/>
      <c r="O142" s="1395"/>
      <c r="P142" s="1388"/>
      <c r="Q142" s="1283"/>
      <c r="R142" s="1283"/>
      <c r="S142" s="1283"/>
      <c r="T142" s="1283"/>
      <c r="U142" s="1283"/>
      <c r="V142" s="1283"/>
      <c r="W142" s="1283"/>
      <c r="X142" s="1283"/>
      <c r="Y142" s="1389"/>
      <c r="Z142" s="1389"/>
      <c r="AA142" s="1389"/>
      <c r="AB142" s="1389"/>
      <c r="AC142" s="1389"/>
      <c r="AD142" s="1389"/>
      <c r="AE142" s="1389"/>
      <c r="AF142" s="1389"/>
      <c r="AG142" s="1389"/>
      <c r="AH142" s="1390">
        <f t="shared" si="2"/>
        <v>0</v>
      </c>
      <c r="AI142" s="1390"/>
      <c r="AJ142" s="1390"/>
      <c r="AK142" s="1390"/>
      <c r="AL142" s="1391"/>
    </row>
    <row r="143" spans="1:38">
      <c r="A143" s="1429" t="s">
        <v>512</v>
      </c>
      <c r="B143" s="1430"/>
      <c r="C143" s="1430"/>
      <c r="D143" s="1430"/>
      <c r="E143" s="1430"/>
      <c r="F143" s="1430"/>
      <c r="G143" s="1430"/>
      <c r="H143" s="1430"/>
      <c r="I143" s="1430"/>
      <c r="J143" s="1430"/>
      <c r="K143" s="1431"/>
      <c r="L143" s="1395"/>
      <c r="M143" s="1395"/>
      <c r="N143" s="1395"/>
      <c r="O143" s="1395"/>
      <c r="P143" s="1388"/>
      <c r="Q143" s="1283"/>
      <c r="R143" s="1283"/>
      <c r="S143" s="1283"/>
      <c r="T143" s="1283"/>
      <c r="U143" s="1283"/>
      <c r="V143" s="1283"/>
      <c r="W143" s="1283"/>
      <c r="X143" s="1283"/>
      <c r="Y143" s="1389"/>
      <c r="Z143" s="1389"/>
      <c r="AA143" s="1389"/>
      <c r="AB143" s="1389"/>
      <c r="AC143" s="1389"/>
      <c r="AD143" s="1389"/>
      <c r="AE143" s="1389"/>
      <c r="AF143" s="1389"/>
      <c r="AG143" s="1389"/>
      <c r="AH143" s="1390">
        <f t="shared" si="2"/>
        <v>0</v>
      </c>
      <c r="AI143" s="1390"/>
      <c r="AJ143" s="1390"/>
      <c r="AK143" s="1390"/>
      <c r="AL143" s="1391"/>
    </row>
    <row r="144" spans="1:38">
      <c r="A144" s="1429" t="s">
        <v>512</v>
      </c>
      <c r="B144" s="1430"/>
      <c r="C144" s="1430"/>
      <c r="D144" s="1430"/>
      <c r="E144" s="1430"/>
      <c r="F144" s="1430"/>
      <c r="G144" s="1430"/>
      <c r="H144" s="1430"/>
      <c r="I144" s="1430"/>
      <c r="J144" s="1430"/>
      <c r="K144" s="1431"/>
      <c r="L144" s="1395"/>
      <c r="M144" s="1395"/>
      <c r="N144" s="1395"/>
      <c r="O144" s="1395"/>
      <c r="P144" s="1388"/>
      <c r="Q144" s="1283"/>
      <c r="R144" s="1283"/>
      <c r="S144" s="1283"/>
      <c r="T144" s="1283"/>
      <c r="U144" s="1283"/>
      <c r="V144" s="1283"/>
      <c r="W144" s="1283"/>
      <c r="X144" s="1283"/>
      <c r="Y144" s="1389"/>
      <c r="Z144" s="1389"/>
      <c r="AA144" s="1389"/>
      <c r="AB144" s="1389"/>
      <c r="AC144" s="1389"/>
      <c r="AD144" s="1389"/>
      <c r="AE144" s="1389"/>
      <c r="AF144" s="1389"/>
      <c r="AG144" s="1389"/>
      <c r="AH144" s="1390">
        <f t="shared" si="2"/>
        <v>0</v>
      </c>
      <c r="AI144" s="1390"/>
      <c r="AJ144" s="1390"/>
      <c r="AK144" s="1390"/>
      <c r="AL144" s="1391"/>
    </row>
    <row r="145" spans="1:38" ht="15" thickBot="1">
      <c r="A145" s="1432" t="s">
        <v>513</v>
      </c>
      <c r="B145" s="1433"/>
      <c r="C145" s="1433"/>
      <c r="D145" s="1433"/>
      <c r="E145" s="1433"/>
      <c r="F145" s="1433"/>
      <c r="G145" s="1433"/>
      <c r="H145" s="1433"/>
      <c r="I145" s="1433"/>
      <c r="J145" s="1433"/>
      <c r="K145" s="1433"/>
      <c r="L145" s="1434">
        <f>SUM(L132:O144)</f>
        <v>0</v>
      </c>
      <c r="M145" s="1435"/>
      <c r="N145" s="1435"/>
      <c r="O145" s="1436"/>
      <c r="P145" s="1437"/>
      <c r="Q145" s="1438"/>
      <c r="R145" s="1438"/>
      <c r="S145" s="1438"/>
      <c r="T145" s="1438"/>
      <c r="U145" s="1438"/>
      <c r="V145" s="1438"/>
      <c r="W145" s="1438"/>
      <c r="X145" s="1438"/>
      <c r="Y145" s="1439"/>
      <c r="Z145" s="1439"/>
      <c r="AA145" s="1439"/>
      <c r="AB145" s="1439"/>
      <c r="AC145" s="1439"/>
      <c r="AD145" s="1439"/>
      <c r="AE145" s="1439"/>
      <c r="AF145" s="1439"/>
      <c r="AG145" s="1439"/>
      <c r="AH145" s="1440">
        <f t="shared" si="2"/>
        <v>0</v>
      </c>
      <c r="AI145" s="1440"/>
      <c r="AJ145" s="1440"/>
      <c r="AK145" s="1440"/>
      <c r="AL145" s="1441"/>
    </row>
    <row r="146" spans="1:38" s="26" customFormat="1" ht="18" customHeight="1">
      <c r="A146" s="1442" t="s">
        <v>514</v>
      </c>
      <c r="B146" s="1443"/>
      <c r="C146" s="1443"/>
      <c r="D146" s="1443"/>
      <c r="E146" s="1443"/>
      <c r="F146" s="1443"/>
      <c r="G146" s="1443"/>
      <c r="H146" s="1443"/>
      <c r="I146" s="1443"/>
      <c r="J146" s="1443"/>
      <c r="K146" s="1443"/>
      <c r="L146" s="1443"/>
      <c r="M146" s="1443"/>
      <c r="N146" s="1443"/>
      <c r="O146" s="1443"/>
      <c r="P146" s="1443"/>
      <c r="Q146" s="1443"/>
      <c r="R146" s="1443"/>
      <c r="S146" s="1443"/>
      <c r="T146" s="1443"/>
      <c r="U146" s="1443"/>
      <c r="V146" s="1443"/>
      <c r="W146" s="1443"/>
      <c r="X146" s="1443"/>
      <c r="Y146" s="1443"/>
      <c r="Z146" s="1443"/>
      <c r="AA146" s="1443"/>
      <c r="AB146" s="1443"/>
      <c r="AC146" s="1443"/>
      <c r="AD146" s="1443"/>
      <c r="AE146" s="1443"/>
      <c r="AF146" s="1443"/>
      <c r="AG146" s="1443"/>
      <c r="AH146" s="1443"/>
      <c r="AI146" s="1443"/>
      <c r="AJ146" s="1443"/>
      <c r="AK146" s="1443"/>
      <c r="AL146" s="1444"/>
    </row>
    <row r="147" spans="1:38" s="35" customFormat="1" ht="15" customHeight="1">
      <c r="A147" s="1453" t="s">
        <v>399</v>
      </c>
      <c r="B147" s="1454"/>
      <c r="C147" s="1454"/>
      <c r="D147" s="1454"/>
      <c r="E147" s="1454"/>
      <c r="F147" s="1454"/>
      <c r="G147" s="1454"/>
      <c r="H147" s="1454"/>
      <c r="I147" s="1454"/>
      <c r="J147" s="1454"/>
      <c r="K147" s="1454"/>
      <c r="L147" s="1454"/>
      <c r="M147" s="1454"/>
      <c r="N147" s="1454"/>
      <c r="O147" s="1454"/>
      <c r="P147" s="1454"/>
      <c r="Q147" s="1454"/>
      <c r="R147" s="1454"/>
      <c r="S147" s="1454"/>
      <c r="T147" s="1454"/>
      <c r="U147" s="1454"/>
      <c r="V147" s="1454"/>
      <c r="W147" s="1454"/>
      <c r="X147" s="1454"/>
      <c r="Y147" s="1454"/>
      <c r="Z147" s="1454"/>
      <c r="AA147" s="1454"/>
      <c r="AB147" s="1454"/>
      <c r="AC147" s="1454"/>
      <c r="AD147" s="1454"/>
      <c r="AE147" s="1454"/>
      <c r="AF147" s="1454"/>
      <c r="AG147" s="1454"/>
      <c r="AH147" s="1454"/>
      <c r="AI147" s="1454"/>
      <c r="AJ147" s="1454"/>
      <c r="AK147" s="1454"/>
      <c r="AL147" s="1455"/>
    </row>
    <row r="148" spans="1:38" s="35" customFormat="1" ht="217.5" customHeight="1" thickBot="1">
      <c r="A148" s="1456" t="s">
        <v>515</v>
      </c>
      <c r="B148" s="1457"/>
      <c r="C148" s="1457"/>
      <c r="D148" s="1457"/>
      <c r="E148" s="1457"/>
      <c r="F148" s="1457"/>
      <c r="G148" s="1457"/>
      <c r="H148" s="1457"/>
      <c r="I148" s="1457"/>
      <c r="J148" s="1457"/>
      <c r="K148" s="1457"/>
      <c r="L148" s="1457"/>
      <c r="M148" s="1457"/>
      <c r="N148" s="1457"/>
      <c r="O148" s="1457"/>
      <c r="P148" s="1457"/>
      <c r="Q148" s="1457"/>
      <c r="R148" s="1457"/>
      <c r="S148" s="1457"/>
      <c r="T148" s="1457"/>
      <c r="U148" s="1457"/>
      <c r="V148" s="1457"/>
      <c r="W148" s="1457"/>
      <c r="X148" s="1457"/>
      <c r="Y148" s="1457"/>
      <c r="Z148" s="1457"/>
      <c r="AA148" s="1457"/>
      <c r="AB148" s="1457"/>
      <c r="AC148" s="1457"/>
      <c r="AD148" s="1457"/>
      <c r="AE148" s="1457"/>
      <c r="AF148" s="1457"/>
      <c r="AG148" s="1457"/>
      <c r="AH148" s="1457"/>
      <c r="AI148" s="1457"/>
      <c r="AJ148" s="1457"/>
      <c r="AK148" s="1457"/>
      <c r="AL148" s="1458"/>
    </row>
    <row r="149" spans="1:38" ht="18" customHeight="1">
      <c r="A149" s="1227" t="s">
        <v>516</v>
      </c>
      <c r="B149" s="1228"/>
      <c r="C149" s="1228"/>
      <c r="D149" s="1228"/>
      <c r="E149" s="1228"/>
      <c r="F149" s="1228"/>
      <c r="G149" s="1228"/>
      <c r="H149" s="1228"/>
      <c r="I149" s="1228"/>
      <c r="J149" s="1228"/>
      <c r="K149" s="1228"/>
      <c r="L149" s="1228"/>
      <c r="M149" s="1228"/>
      <c r="N149" s="1228"/>
      <c r="O149" s="1228"/>
      <c r="P149" s="1228"/>
      <c r="Q149" s="1228"/>
      <c r="R149" s="1228"/>
      <c r="S149" s="1228"/>
      <c r="T149" s="1228"/>
      <c r="U149" s="1228"/>
      <c r="V149" s="1228"/>
      <c r="W149" s="1228"/>
      <c r="X149" s="1228"/>
      <c r="Y149" s="1228"/>
      <c r="Z149" s="1228"/>
      <c r="AA149" s="1228"/>
      <c r="AB149" s="1228"/>
      <c r="AC149" s="1228"/>
      <c r="AD149" s="1228"/>
      <c r="AE149" s="1228"/>
      <c r="AF149" s="1228"/>
      <c r="AG149" s="1228"/>
      <c r="AH149" s="1228"/>
      <c r="AI149" s="1228"/>
      <c r="AJ149" s="1228"/>
      <c r="AK149" s="1228"/>
      <c r="AL149" s="1229"/>
    </row>
    <row r="150" spans="1:38" ht="15" customHeight="1">
      <c r="A150" s="1459" t="s">
        <v>517</v>
      </c>
      <c r="B150" s="1460"/>
      <c r="C150" s="1460"/>
      <c r="D150" s="1460"/>
      <c r="E150" s="1460"/>
      <c r="F150" s="1460"/>
      <c r="G150" s="1460"/>
      <c r="H150" s="1460"/>
      <c r="I150" s="1460"/>
      <c r="J150" s="1460"/>
      <c r="K150" s="1460"/>
      <c r="L150" s="1460"/>
      <c r="M150" s="1460"/>
      <c r="N150" s="1460"/>
      <c r="O150" s="1460"/>
      <c r="P150" s="1460"/>
      <c r="Q150" s="1460"/>
      <c r="R150" s="1460"/>
      <c r="S150" s="1460"/>
      <c r="T150" s="1460"/>
      <c r="U150" s="1460"/>
      <c r="V150" s="1460"/>
      <c r="W150" s="1460"/>
      <c r="X150" s="1460"/>
      <c r="Y150" s="1460"/>
      <c r="Z150" s="1460"/>
      <c r="AA150" s="1460"/>
      <c r="AB150" s="1460"/>
      <c r="AC150" s="1460"/>
      <c r="AD150" s="1460"/>
      <c r="AE150" s="1460"/>
      <c r="AF150" s="1460"/>
      <c r="AG150" s="1460"/>
      <c r="AH150" s="1460"/>
      <c r="AI150" s="1460"/>
      <c r="AJ150" s="1460"/>
      <c r="AK150" s="1460"/>
      <c r="AL150" s="1461"/>
    </row>
    <row r="151" spans="1:38" ht="15" customHeight="1">
      <c r="A151" s="1459" t="s">
        <v>518</v>
      </c>
      <c r="B151" s="1460"/>
      <c r="C151" s="1460"/>
      <c r="D151" s="1460"/>
      <c r="E151" s="1460"/>
      <c r="F151" s="1460"/>
      <c r="G151" s="1460"/>
      <c r="H151" s="1460"/>
      <c r="I151" s="1460"/>
      <c r="J151" s="1460"/>
      <c r="K151" s="1460"/>
      <c r="L151" s="1460"/>
      <c r="M151" s="1460"/>
      <c r="N151" s="1460"/>
      <c r="O151" s="1460"/>
      <c r="P151" s="1460"/>
      <c r="Q151" s="1460"/>
      <c r="R151" s="1460"/>
      <c r="S151" s="1460"/>
      <c r="T151" s="1460"/>
      <c r="U151" s="1460"/>
      <c r="V151" s="1460"/>
      <c r="W151" s="1460"/>
      <c r="X151" s="1460"/>
      <c r="Y151" s="1460"/>
      <c r="Z151" s="1460"/>
      <c r="AA151" s="1460"/>
      <c r="AB151" s="1460"/>
      <c r="AC151" s="1460"/>
      <c r="AD151" s="1460"/>
      <c r="AE151" s="1460"/>
      <c r="AF151" s="1460"/>
      <c r="AG151" s="1460"/>
      <c r="AH151" s="1460"/>
      <c r="AI151" s="1460"/>
      <c r="AJ151" s="1460"/>
      <c r="AK151" s="1460"/>
      <c r="AL151" s="1461"/>
    </row>
    <row r="152" spans="1:38" ht="45" customHeight="1">
      <c r="A152" s="1459" t="s">
        <v>519</v>
      </c>
      <c r="B152" s="1460"/>
      <c r="C152" s="1460"/>
      <c r="D152" s="1460"/>
      <c r="E152" s="1460"/>
      <c r="F152" s="1460"/>
      <c r="G152" s="1460"/>
      <c r="H152" s="1460"/>
      <c r="I152" s="1460"/>
      <c r="J152" s="1460"/>
      <c r="K152" s="1460"/>
      <c r="L152" s="1460"/>
      <c r="M152" s="1460"/>
      <c r="N152" s="1460"/>
      <c r="O152" s="1460"/>
      <c r="P152" s="1460"/>
      <c r="Q152" s="1460"/>
      <c r="R152" s="1460"/>
      <c r="S152" s="1460"/>
      <c r="T152" s="1460"/>
      <c r="U152" s="1460"/>
      <c r="V152" s="1460"/>
      <c r="W152" s="1460"/>
      <c r="X152" s="1460"/>
      <c r="Y152" s="1460"/>
      <c r="Z152" s="1460"/>
      <c r="AA152" s="1460"/>
      <c r="AB152" s="1460"/>
      <c r="AC152" s="1460"/>
      <c r="AD152" s="1460"/>
      <c r="AE152" s="1460"/>
      <c r="AF152" s="1460"/>
      <c r="AG152" s="1460"/>
      <c r="AH152" s="1460"/>
      <c r="AI152" s="1460"/>
      <c r="AJ152" s="1460"/>
      <c r="AK152" s="1460"/>
      <c r="AL152" s="1461"/>
    </row>
    <row r="153" spans="1:38" ht="15" customHeight="1">
      <c r="A153" s="1462" t="s">
        <v>520</v>
      </c>
      <c r="B153" s="1463"/>
      <c r="C153" s="1463"/>
      <c r="D153" s="1463"/>
      <c r="E153" s="1463"/>
      <c r="F153" s="1463"/>
      <c r="G153" s="1463"/>
      <c r="H153" s="1463"/>
      <c r="I153" s="1463"/>
      <c r="J153" s="1463"/>
      <c r="K153" s="1463"/>
      <c r="L153" s="1464"/>
      <c r="M153" s="1465" t="s">
        <v>521</v>
      </c>
      <c r="N153" s="1465"/>
      <c r="O153" s="1465"/>
      <c r="P153" s="1465"/>
      <c r="Q153" s="1465"/>
      <c r="R153" s="1465"/>
      <c r="S153" s="1465"/>
      <c r="T153" s="1465"/>
      <c r="U153" s="1465"/>
      <c r="V153" s="1465"/>
      <c r="W153" s="1465"/>
      <c r="X153" s="1465"/>
      <c r="Y153" s="1465"/>
      <c r="Z153" s="1465" t="s">
        <v>522</v>
      </c>
      <c r="AA153" s="1465"/>
      <c r="AB153" s="1465"/>
      <c r="AC153" s="1465"/>
      <c r="AD153" s="1465"/>
      <c r="AE153" s="1465"/>
      <c r="AF153" s="1465"/>
      <c r="AG153" s="1465"/>
      <c r="AH153" s="1465"/>
      <c r="AI153" s="1465"/>
      <c r="AJ153" s="1465"/>
      <c r="AK153" s="1465"/>
      <c r="AL153" s="1466"/>
    </row>
    <row r="154" spans="1:38" ht="30" customHeight="1">
      <c r="A154" s="1445" t="s">
        <v>523</v>
      </c>
      <c r="B154" s="1446"/>
      <c r="C154" s="1446"/>
      <c r="D154" s="1446"/>
      <c r="E154" s="1446"/>
      <c r="F154" s="1446"/>
      <c r="G154" s="1446"/>
      <c r="H154" s="1446"/>
      <c r="I154" s="1446"/>
      <c r="J154" s="1446"/>
      <c r="K154" s="1446"/>
      <c r="L154" s="1447"/>
      <c r="M154" s="1448"/>
      <c r="N154" s="1448"/>
      <c r="O154" s="1448"/>
      <c r="P154" s="1448"/>
      <c r="Q154" s="1448"/>
      <c r="R154" s="1448"/>
      <c r="S154" s="1448"/>
      <c r="T154" s="1448"/>
      <c r="U154" s="1448"/>
      <c r="V154" s="1448"/>
      <c r="W154" s="1448"/>
      <c r="X154" s="1448"/>
      <c r="Y154" s="1448"/>
      <c r="Z154" s="1448"/>
      <c r="AA154" s="1448"/>
      <c r="AB154" s="1448"/>
      <c r="AC154" s="1448"/>
      <c r="AD154" s="1448"/>
      <c r="AE154" s="1448"/>
      <c r="AF154" s="1448"/>
      <c r="AG154" s="1448"/>
      <c r="AH154" s="1448"/>
      <c r="AI154" s="1448"/>
      <c r="AJ154" s="1448"/>
      <c r="AK154" s="1448"/>
      <c r="AL154" s="1449"/>
    </row>
    <row r="155" spans="1:38" ht="92.25" customHeight="1">
      <c r="A155" s="1450" t="s">
        <v>524</v>
      </c>
      <c r="B155" s="1451"/>
      <c r="C155" s="1451"/>
      <c r="D155" s="1451"/>
      <c r="E155" s="1451"/>
      <c r="F155" s="1451"/>
      <c r="G155" s="1451"/>
      <c r="H155" s="1451"/>
      <c r="I155" s="1451"/>
      <c r="J155" s="1451"/>
      <c r="K155" s="1451"/>
      <c r="L155" s="1452"/>
      <c r="M155" s="1448"/>
      <c r="N155" s="1448"/>
      <c r="O155" s="1448"/>
      <c r="P155" s="1448"/>
      <c r="Q155" s="1448"/>
      <c r="R155" s="1448"/>
      <c r="S155" s="1448"/>
      <c r="T155" s="1448"/>
      <c r="U155" s="1448"/>
      <c r="V155" s="1448"/>
      <c r="W155" s="1448"/>
      <c r="X155" s="1448"/>
      <c r="Y155" s="1448"/>
      <c r="Z155" s="1448"/>
      <c r="AA155" s="1448"/>
      <c r="AB155" s="1448"/>
      <c r="AC155" s="1448"/>
      <c r="AD155" s="1448"/>
      <c r="AE155" s="1448"/>
      <c r="AF155" s="1448"/>
      <c r="AG155" s="1448"/>
      <c r="AH155" s="1448"/>
      <c r="AI155" s="1448"/>
      <c r="AJ155" s="1448"/>
      <c r="AK155" s="1448"/>
      <c r="AL155" s="1449"/>
    </row>
    <row r="156" spans="1:38" ht="61.5" customHeight="1">
      <c r="A156" s="1445" t="s">
        <v>525</v>
      </c>
      <c r="B156" s="1446"/>
      <c r="C156" s="1446"/>
      <c r="D156" s="1446"/>
      <c r="E156" s="1446"/>
      <c r="F156" s="1446"/>
      <c r="G156" s="1446"/>
      <c r="H156" s="1446"/>
      <c r="I156" s="1446"/>
      <c r="J156" s="1446"/>
      <c r="K156" s="1446"/>
      <c r="L156" s="1447"/>
      <c r="M156" s="1448"/>
      <c r="N156" s="1448"/>
      <c r="O156" s="1448"/>
      <c r="P156" s="1448"/>
      <c r="Q156" s="1448"/>
      <c r="R156" s="1448"/>
      <c r="S156" s="1448"/>
      <c r="T156" s="1448"/>
      <c r="U156" s="1448"/>
      <c r="V156" s="1448"/>
      <c r="W156" s="1448"/>
      <c r="X156" s="1448"/>
      <c r="Y156" s="1448"/>
      <c r="Z156" s="1448"/>
      <c r="AA156" s="1448"/>
      <c r="AB156" s="1448"/>
      <c r="AC156" s="1448"/>
      <c r="AD156" s="1448"/>
      <c r="AE156" s="1448"/>
      <c r="AF156" s="1448"/>
      <c r="AG156" s="1448"/>
      <c r="AH156" s="1448"/>
      <c r="AI156" s="1448"/>
      <c r="AJ156" s="1448"/>
      <c r="AK156" s="1448"/>
      <c r="AL156" s="1449"/>
    </row>
    <row r="157" spans="1:38" ht="61.5" customHeight="1">
      <c r="A157" s="1473" t="s">
        <v>526</v>
      </c>
      <c r="B157" s="1474"/>
      <c r="C157" s="1474"/>
      <c r="D157" s="1474"/>
      <c r="E157" s="1474"/>
      <c r="F157" s="1474"/>
      <c r="G157" s="1474"/>
      <c r="H157" s="1474"/>
      <c r="I157" s="1474"/>
      <c r="J157" s="1474"/>
      <c r="K157" s="1474"/>
      <c r="L157" s="1475"/>
      <c r="M157" s="1448"/>
      <c r="N157" s="1448"/>
      <c r="O157" s="1448"/>
      <c r="P157" s="1448"/>
      <c r="Q157" s="1448"/>
      <c r="R157" s="1448"/>
      <c r="S157" s="1448"/>
      <c r="T157" s="1448"/>
      <c r="U157" s="1448"/>
      <c r="V157" s="1448"/>
      <c r="W157" s="1448"/>
      <c r="X157" s="1448"/>
      <c r="Y157" s="1448"/>
      <c r="Z157" s="1448"/>
      <c r="AA157" s="1448"/>
      <c r="AB157" s="1448"/>
      <c r="AC157" s="1448"/>
      <c r="AD157" s="1448"/>
      <c r="AE157" s="1448"/>
      <c r="AF157" s="1448"/>
      <c r="AG157" s="1448"/>
      <c r="AH157" s="1448"/>
      <c r="AI157" s="1448"/>
      <c r="AJ157" s="1448"/>
      <c r="AK157" s="1448"/>
      <c r="AL157" s="1449"/>
    </row>
    <row r="158" spans="1:38" ht="15" customHeight="1">
      <c r="A158" s="1467" t="s">
        <v>403</v>
      </c>
      <c r="B158" s="1468"/>
      <c r="C158" s="1468"/>
      <c r="D158" s="1468"/>
      <c r="E158" s="1468"/>
      <c r="F158" s="1468"/>
      <c r="G158" s="1468"/>
      <c r="H158" s="1468"/>
      <c r="I158" s="1468"/>
      <c r="J158" s="1468"/>
      <c r="K158" s="1468"/>
      <c r="L158" s="1468"/>
      <c r="M158" s="1468"/>
      <c r="N158" s="1468"/>
      <c r="O158" s="1468"/>
      <c r="P158" s="1468"/>
      <c r="Q158" s="1468"/>
      <c r="R158" s="1468"/>
      <c r="S158" s="1468"/>
      <c r="T158" s="1468"/>
      <c r="U158" s="1468"/>
      <c r="V158" s="1468"/>
      <c r="W158" s="1468"/>
      <c r="X158" s="1468"/>
      <c r="Y158" s="1468"/>
      <c r="Z158" s="1468"/>
      <c r="AA158" s="1468"/>
      <c r="AB158" s="1468"/>
      <c r="AC158" s="1468"/>
      <c r="AD158" s="1468"/>
      <c r="AE158" s="1468"/>
      <c r="AF158" s="1468"/>
      <c r="AG158" s="1468"/>
      <c r="AH158" s="1468"/>
      <c r="AI158" s="1468"/>
      <c r="AJ158" s="1468"/>
      <c r="AK158" s="1468"/>
      <c r="AL158" s="1469"/>
    </row>
    <row r="159" spans="1:38" ht="30.75" customHeight="1">
      <c r="A159" s="1368" t="s">
        <v>527</v>
      </c>
      <c r="B159" s="1369"/>
      <c r="C159" s="1369"/>
      <c r="D159" s="1369"/>
      <c r="E159" s="1369"/>
      <c r="F159" s="1369"/>
      <c r="G159" s="1369"/>
      <c r="H159" s="1369"/>
      <c r="I159" s="1369"/>
      <c r="J159" s="1369"/>
      <c r="K159" s="1369"/>
      <c r="L159" s="1369"/>
      <c r="M159" s="1369"/>
      <c r="N159" s="1369"/>
      <c r="O159" s="1369"/>
      <c r="P159" s="1369"/>
      <c r="Q159" s="1369"/>
      <c r="R159" s="1369"/>
      <c r="S159" s="1369"/>
      <c r="T159" s="1369"/>
      <c r="U159" s="1369"/>
      <c r="V159" s="1369"/>
      <c r="W159" s="1369"/>
      <c r="X159" s="1369"/>
      <c r="Y159" s="1369"/>
      <c r="Z159" s="1369"/>
      <c r="AA159" s="1369"/>
      <c r="AB159" s="1369"/>
      <c r="AC159" s="1369"/>
      <c r="AD159" s="1369"/>
      <c r="AE159" s="1369"/>
      <c r="AF159" s="1369"/>
      <c r="AG159" s="1369"/>
      <c r="AH159" s="1369"/>
      <c r="AI159" s="1369"/>
      <c r="AJ159" s="1369"/>
      <c r="AK159" s="1369"/>
      <c r="AL159" s="1370"/>
    </row>
    <row r="160" spans="1:38" ht="43.5" customHeight="1" thickBot="1">
      <c r="A160" s="1470"/>
      <c r="B160" s="1471"/>
      <c r="C160" s="1471"/>
      <c r="D160" s="1471"/>
      <c r="E160" s="1471"/>
      <c r="F160" s="1471"/>
      <c r="G160" s="1471"/>
      <c r="H160" s="1471"/>
      <c r="I160" s="1471"/>
      <c r="J160" s="1471"/>
      <c r="K160" s="1471"/>
      <c r="L160" s="1471"/>
      <c r="M160" s="1471"/>
      <c r="N160" s="1471"/>
      <c r="O160" s="1471"/>
      <c r="P160" s="1471"/>
      <c r="Q160" s="1471"/>
      <c r="R160" s="1471"/>
      <c r="S160" s="1471"/>
      <c r="T160" s="1471"/>
      <c r="U160" s="1471"/>
      <c r="V160" s="1471"/>
      <c r="W160" s="1471"/>
      <c r="X160" s="1471"/>
      <c r="Y160" s="1471"/>
      <c r="Z160" s="1471"/>
      <c r="AA160" s="1471"/>
      <c r="AB160" s="1471"/>
      <c r="AC160" s="1471"/>
      <c r="AD160" s="1471"/>
      <c r="AE160" s="1471"/>
      <c r="AF160" s="1471"/>
      <c r="AG160" s="1471"/>
      <c r="AH160" s="1471"/>
      <c r="AI160" s="1471"/>
      <c r="AJ160" s="1471"/>
      <c r="AK160" s="1471"/>
      <c r="AL160" s="1472"/>
    </row>
  </sheetData>
  <sheetProtection algorithmName="SHA-512" hashValue="w80TkioU2Ppo/ptCWRM8IKc/j4oFQpPxbbXRGwtNrz5lsCdkL5MFrXDdClxGHsbGCoAlowM93miy/fH2l2KEAA==" saltValue="PO+AwZ0uzGpdXKT8UQ9zLQ==" spinCount="100000" sheet="1" formatCells="0" formatRows="0"/>
  <mergeCells count="443">
    <mergeCell ref="A54:AJ54"/>
    <mergeCell ref="A55:AJ55"/>
    <mergeCell ref="A56:AJ56"/>
    <mergeCell ref="A57:AJ57"/>
    <mergeCell ref="A34:AL34"/>
    <mergeCell ref="A59:AL59"/>
    <mergeCell ref="A45:AJ45"/>
    <mergeCell ref="A46:AJ46"/>
    <mergeCell ref="AK48:AL48"/>
    <mergeCell ref="AK49:AL49"/>
    <mergeCell ref="AK50:AL50"/>
    <mergeCell ref="AK51:AL51"/>
    <mergeCell ref="A48:AJ48"/>
    <mergeCell ref="A49:AJ49"/>
    <mergeCell ref="A50:AJ50"/>
    <mergeCell ref="A51:AJ51"/>
    <mergeCell ref="AK55:AL55"/>
    <mergeCell ref="AK56:AL56"/>
    <mergeCell ref="AK57:AL57"/>
    <mergeCell ref="A53:AL53"/>
    <mergeCell ref="AK52:AL52"/>
    <mergeCell ref="A52:AJ52"/>
    <mergeCell ref="AK54:AL54"/>
    <mergeCell ref="A47:AL47"/>
    <mergeCell ref="A156:L156"/>
    <mergeCell ref="M156:Y156"/>
    <mergeCell ref="Z156:AL156"/>
    <mergeCell ref="A158:AL158"/>
    <mergeCell ref="A159:AL159"/>
    <mergeCell ref="A160:AL160"/>
    <mergeCell ref="A157:L157"/>
    <mergeCell ref="M157:Y157"/>
    <mergeCell ref="Z157:AL157"/>
    <mergeCell ref="A154:L154"/>
    <mergeCell ref="M154:Y154"/>
    <mergeCell ref="Z154:AL154"/>
    <mergeCell ref="A155:L155"/>
    <mergeCell ref="M155:Y155"/>
    <mergeCell ref="Z155:AL155"/>
    <mergeCell ref="A147:AL147"/>
    <mergeCell ref="A148:AL148"/>
    <mergeCell ref="A149:AL149"/>
    <mergeCell ref="A151:AL151"/>
    <mergeCell ref="A153:L153"/>
    <mergeCell ref="M153:Y153"/>
    <mergeCell ref="Z153:AL153"/>
    <mergeCell ref="A150:AL150"/>
    <mergeCell ref="A152:AL152"/>
    <mergeCell ref="A145:K145"/>
    <mergeCell ref="L145:O145"/>
    <mergeCell ref="P145:X145"/>
    <mergeCell ref="Y145:AG145"/>
    <mergeCell ref="AH145:AL145"/>
    <mergeCell ref="A146:AL146"/>
    <mergeCell ref="A143:K143"/>
    <mergeCell ref="L143:O143"/>
    <mergeCell ref="P143:X143"/>
    <mergeCell ref="Y143:AG143"/>
    <mergeCell ref="AH143:AL143"/>
    <mergeCell ref="A144:K144"/>
    <mergeCell ref="L144:O144"/>
    <mergeCell ref="P144:X144"/>
    <mergeCell ref="Y144:AG144"/>
    <mergeCell ref="AH144:AL144"/>
    <mergeCell ref="A141:K141"/>
    <mergeCell ref="L141:O141"/>
    <mergeCell ref="P141:X141"/>
    <mergeCell ref="Y141:AG141"/>
    <mergeCell ref="AH141:AL141"/>
    <mergeCell ref="A142:K142"/>
    <mergeCell ref="L142:O142"/>
    <mergeCell ref="P142:X142"/>
    <mergeCell ref="Y142:AG142"/>
    <mergeCell ref="AH142:AL142"/>
    <mergeCell ref="A139:K139"/>
    <mergeCell ref="L139:O139"/>
    <mergeCell ref="P139:X139"/>
    <mergeCell ref="Y139:AG139"/>
    <mergeCell ref="AH139:AL139"/>
    <mergeCell ref="A140:K140"/>
    <mergeCell ref="L140:O140"/>
    <mergeCell ref="P140:X140"/>
    <mergeCell ref="Y140:AG140"/>
    <mergeCell ref="AH140:AL140"/>
    <mergeCell ref="A137:K137"/>
    <mergeCell ref="L137:O137"/>
    <mergeCell ref="P137:X137"/>
    <mergeCell ref="Y137:AG137"/>
    <mergeCell ref="AH137:AL137"/>
    <mergeCell ref="A138:K138"/>
    <mergeCell ref="L138:O138"/>
    <mergeCell ref="P138:X138"/>
    <mergeCell ref="Y138:AG138"/>
    <mergeCell ref="AH138:AL138"/>
    <mergeCell ref="A135:K135"/>
    <mergeCell ref="L135:O135"/>
    <mergeCell ref="P135:X135"/>
    <mergeCell ref="Y135:AG135"/>
    <mergeCell ref="AH135:AL135"/>
    <mergeCell ref="A136:K136"/>
    <mergeCell ref="L136:O136"/>
    <mergeCell ref="P136:X136"/>
    <mergeCell ref="Y136:AG136"/>
    <mergeCell ref="AH136:AL136"/>
    <mergeCell ref="A133:K133"/>
    <mergeCell ref="L133:O133"/>
    <mergeCell ref="P133:X133"/>
    <mergeCell ref="Y133:AG133"/>
    <mergeCell ref="AH133:AL133"/>
    <mergeCell ref="A134:K134"/>
    <mergeCell ref="L134:O134"/>
    <mergeCell ref="P134:X134"/>
    <mergeCell ref="Y134:AG134"/>
    <mergeCell ref="AH134:AL134"/>
    <mergeCell ref="A131:K131"/>
    <mergeCell ref="L131:O131"/>
    <mergeCell ref="P131:X131"/>
    <mergeCell ref="Y131:AG131"/>
    <mergeCell ref="AH131:AL131"/>
    <mergeCell ref="A132:K132"/>
    <mergeCell ref="L132:O132"/>
    <mergeCell ref="P132:X132"/>
    <mergeCell ref="Y132:AG132"/>
    <mergeCell ref="AH132:AL132"/>
    <mergeCell ref="A130:H130"/>
    <mergeCell ref="J130:K130"/>
    <mergeCell ref="L130:O130"/>
    <mergeCell ref="P130:X130"/>
    <mergeCell ref="Y130:AG130"/>
    <mergeCell ref="AH130:AL130"/>
    <mergeCell ref="A129:H129"/>
    <mergeCell ref="J129:K129"/>
    <mergeCell ref="L129:O129"/>
    <mergeCell ref="P129:X129"/>
    <mergeCell ref="Y129:AG129"/>
    <mergeCell ref="AH129:AL129"/>
    <mergeCell ref="AH127:AL127"/>
    <mergeCell ref="A128:H128"/>
    <mergeCell ref="J128:K128"/>
    <mergeCell ref="L128:O128"/>
    <mergeCell ref="P128:X128"/>
    <mergeCell ref="Y128:AG128"/>
    <mergeCell ref="AH128:AL128"/>
    <mergeCell ref="A126:K126"/>
    <mergeCell ref="L126:O126"/>
    <mergeCell ref="P126:X126"/>
    <mergeCell ref="Y126:AG126"/>
    <mergeCell ref="AH126:AL126"/>
    <mergeCell ref="A127:H127"/>
    <mergeCell ref="J127:K127"/>
    <mergeCell ref="L127:O127"/>
    <mergeCell ref="P127:X127"/>
    <mergeCell ref="Y127:AG127"/>
    <mergeCell ref="A124:K124"/>
    <mergeCell ref="L124:O124"/>
    <mergeCell ref="P124:X124"/>
    <mergeCell ref="Y124:AG124"/>
    <mergeCell ref="AH124:AL124"/>
    <mergeCell ref="A125:K125"/>
    <mergeCell ref="L125:O125"/>
    <mergeCell ref="P125:X125"/>
    <mergeCell ref="Y125:AG125"/>
    <mergeCell ref="AH125:AL125"/>
    <mergeCell ref="A122:K122"/>
    <mergeCell ref="L122:O122"/>
    <mergeCell ref="P122:X122"/>
    <mergeCell ref="Y122:AG122"/>
    <mergeCell ref="AH122:AL122"/>
    <mergeCell ref="A123:K123"/>
    <mergeCell ref="L123:O123"/>
    <mergeCell ref="P123:X123"/>
    <mergeCell ref="Y123:AG123"/>
    <mergeCell ref="AH123:AL123"/>
    <mergeCell ref="A120:K120"/>
    <mergeCell ref="L120:O120"/>
    <mergeCell ref="P120:X120"/>
    <mergeCell ref="Y120:AG120"/>
    <mergeCell ref="AH120:AL120"/>
    <mergeCell ref="A121:K121"/>
    <mergeCell ref="L121:O121"/>
    <mergeCell ref="P121:X121"/>
    <mergeCell ref="Y121:AG121"/>
    <mergeCell ref="AH121:AL121"/>
    <mergeCell ref="A117:AL117"/>
    <mergeCell ref="A118:AL118"/>
    <mergeCell ref="A119:K119"/>
    <mergeCell ref="L119:O119"/>
    <mergeCell ref="P119:X119"/>
    <mergeCell ref="Y119:AG119"/>
    <mergeCell ref="AH119:AL119"/>
    <mergeCell ref="A114:AL114"/>
    <mergeCell ref="A115:F115"/>
    <mergeCell ref="G115:P115"/>
    <mergeCell ref="Q115:AA115"/>
    <mergeCell ref="AB115:AL115"/>
    <mergeCell ref="A116:F116"/>
    <mergeCell ref="G116:P116"/>
    <mergeCell ref="Q116:AA116"/>
    <mergeCell ref="AB116:AL116"/>
    <mergeCell ref="A110:AL110"/>
    <mergeCell ref="B111:AI111"/>
    <mergeCell ref="AJ111:AL111"/>
    <mergeCell ref="B112:AI112"/>
    <mergeCell ref="AJ112:AL112"/>
    <mergeCell ref="B113:AI113"/>
    <mergeCell ref="AJ113:AL113"/>
    <mergeCell ref="A108:D108"/>
    <mergeCell ref="E108:Y108"/>
    <mergeCell ref="Z108:AC108"/>
    <mergeCell ref="AD108:AI108"/>
    <mergeCell ref="AJ108:AL108"/>
    <mergeCell ref="A109:AL109"/>
    <mergeCell ref="A106:D106"/>
    <mergeCell ref="E106:Y106"/>
    <mergeCell ref="Z106:AC106"/>
    <mergeCell ref="AD106:AI106"/>
    <mergeCell ref="AJ106:AL106"/>
    <mergeCell ref="A107:D107"/>
    <mergeCell ref="E107:Y107"/>
    <mergeCell ref="Z107:AC107"/>
    <mergeCell ref="AD107:AI107"/>
    <mergeCell ref="AJ107:AL107"/>
    <mergeCell ref="A104:D104"/>
    <mergeCell ref="E104:Y104"/>
    <mergeCell ref="Z104:AC104"/>
    <mergeCell ref="AD104:AI104"/>
    <mergeCell ref="AJ104:AL104"/>
    <mergeCell ref="A105:D105"/>
    <mergeCell ref="E105:Y105"/>
    <mergeCell ref="Z105:AC105"/>
    <mergeCell ref="AD105:AI105"/>
    <mergeCell ref="AJ105:AL105"/>
    <mergeCell ref="A102:D102"/>
    <mergeCell ref="E102:Y102"/>
    <mergeCell ref="Z102:AC102"/>
    <mergeCell ref="AD102:AI102"/>
    <mergeCell ref="AJ102:AL102"/>
    <mergeCell ref="A103:D103"/>
    <mergeCell ref="E103:Y103"/>
    <mergeCell ref="Z103:AC103"/>
    <mergeCell ref="AD103:AI103"/>
    <mergeCell ref="AJ103:AL103"/>
    <mergeCell ref="A100:D100"/>
    <mergeCell ref="E100:Y100"/>
    <mergeCell ref="Z100:AC100"/>
    <mergeCell ref="AD100:AI100"/>
    <mergeCell ref="AJ100:AL100"/>
    <mergeCell ref="A101:D101"/>
    <mergeCell ref="E101:Y101"/>
    <mergeCell ref="Z101:AC101"/>
    <mergeCell ref="AD101:AI101"/>
    <mergeCell ref="AJ101:AL101"/>
    <mergeCell ref="A98:D98"/>
    <mergeCell ref="E98:Y98"/>
    <mergeCell ref="Z98:AC98"/>
    <mergeCell ref="AD98:AI98"/>
    <mergeCell ref="AJ98:AL98"/>
    <mergeCell ref="A99:D99"/>
    <mergeCell ref="E99:Y99"/>
    <mergeCell ref="Z99:AC99"/>
    <mergeCell ref="AD99:AI99"/>
    <mergeCell ref="AJ99:AL99"/>
    <mergeCell ref="A96:D96"/>
    <mergeCell ref="E96:Y96"/>
    <mergeCell ref="Z96:AC96"/>
    <mergeCell ref="AD96:AI96"/>
    <mergeCell ref="AJ96:AL96"/>
    <mergeCell ref="A97:D97"/>
    <mergeCell ref="E97:Y97"/>
    <mergeCell ref="Z97:AC97"/>
    <mergeCell ref="AD97:AI97"/>
    <mergeCell ref="AJ97:AL97"/>
    <mergeCell ref="A95:D95"/>
    <mergeCell ref="E95:Y95"/>
    <mergeCell ref="Z95:AA95"/>
    <mergeCell ref="AB95:AC95"/>
    <mergeCell ref="AD95:AI95"/>
    <mergeCell ref="AJ95:AL95"/>
    <mergeCell ref="A89:AL89"/>
    <mergeCell ref="A90:AL90"/>
    <mergeCell ref="A91:AL91"/>
    <mergeCell ref="A92:AL92"/>
    <mergeCell ref="A93:AL93"/>
    <mergeCell ref="A94:AL94"/>
    <mergeCell ref="A83:AL83"/>
    <mergeCell ref="A84:AL84"/>
    <mergeCell ref="A85:AL85"/>
    <mergeCell ref="A86:AL86"/>
    <mergeCell ref="A87:AL87"/>
    <mergeCell ref="A88:AL88"/>
    <mergeCell ref="A81:E81"/>
    <mergeCell ref="AC81:AL81"/>
    <mergeCell ref="A82:E82"/>
    <mergeCell ref="AC82:AL82"/>
    <mergeCell ref="X81:AB81"/>
    <mergeCell ref="X82:AB82"/>
    <mergeCell ref="F81:P81"/>
    <mergeCell ref="Q81:T81"/>
    <mergeCell ref="U81:W81"/>
    <mergeCell ref="F82:P82"/>
    <mergeCell ref="Q82:T82"/>
    <mergeCell ref="U82:W82"/>
    <mergeCell ref="A79:E79"/>
    <mergeCell ref="AC79:AL79"/>
    <mergeCell ref="A80:E80"/>
    <mergeCell ref="AC80:AL80"/>
    <mergeCell ref="X79:AB79"/>
    <mergeCell ref="X80:AB80"/>
    <mergeCell ref="F79:P79"/>
    <mergeCell ref="Q79:T79"/>
    <mergeCell ref="U79:W79"/>
    <mergeCell ref="F80:P80"/>
    <mergeCell ref="Q80:T80"/>
    <mergeCell ref="U80:W80"/>
    <mergeCell ref="A77:E77"/>
    <mergeCell ref="AC77:AL77"/>
    <mergeCell ref="A78:E78"/>
    <mergeCell ref="AC78:AL78"/>
    <mergeCell ref="X77:AB77"/>
    <mergeCell ref="X78:AB78"/>
    <mergeCell ref="F77:P77"/>
    <mergeCell ref="Q77:T77"/>
    <mergeCell ref="U77:W77"/>
    <mergeCell ref="F78:P78"/>
    <mergeCell ref="Q78:T78"/>
    <mergeCell ref="U78:W78"/>
    <mergeCell ref="A75:E75"/>
    <mergeCell ref="AC75:AL75"/>
    <mergeCell ref="A76:E76"/>
    <mergeCell ref="AC76:AL76"/>
    <mergeCell ref="X75:AB75"/>
    <mergeCell ref="X76:AB76"/>
    <mergeCell ref="F75:P75"/>
    <mergeCell ref="Q75:T75"/>
    <mergeCell ref="U75:W75"/>
    <mergeCell ref="F76:P76"/>
    <mergeCell ref="Q76:T76"/>
    <mergeCell ref="U76:W76"/>
    <mergeCell ref="A73:E73"/>
    <mergeCell ref="AC73:AL73"/>
    <mergeCell ref="A74:E74"/>
    <mergeCell ref="AC74:AL74"/>
    <mergeCell ref="X73:AB73"/>
    <mergeCell ref="U74:W74"/>
    <mergeCell ref="X74:AB74"/>
    <mergeCell ref="U73:W73"/>
    <mergeCell ref="Q73:T73"/>
    <mergeCell ref="F73:P73"/>
    <mergeCell ref="F74:P74"/>
    <mergeCell ref="Q74:T74"/>
    <mergeCell ref="A67:AL67"/>
    <mergeCell ref="A68:AL68"/>
    <mergeCell ref="A69:AL69"/>
    <mergeCell ref="A70:AL70"/>
    <mergeCell ref="A71:AL71"/>
    <mergeCell ref="A72:AL72"/>
    <mergeCell ref="A65:J65"/>
    <mergeCell ref="K65:X65"/>
    <mergeCell ref="Y65:AL65"/>
    <mergeCell ref="A66:J66"/>
    <mergeCell ref="K66:X66"/>
    <mergeCell ref="Y66:AL66"/>
    <mergeCell ref="A63:J63"/>
    <mergeCell ref="K63:X63"/>
    <mergeCell ref="Y63:AL63"/>
    <mergeCell ref="A64:J64"/>
    <mergeCell ref="K64:X64"/>
    <mergeCell ref="Y64:AL64"/>
    <mergeCell ref="A58:AL58"/>
    <mergeCell ref="A60:AL60"/>
    <mergeCell ref="A61:J61"/>
    <mergeCell ref="K61:X61"/>
    <mergeCell ref="Y61:AL61"/>
    <mergeCell ref="A62:J62"/>
    <mergeCell ref="K62:X62"/>
    <mergeCell ref="Y62:AL62"/>
    <mergeCell ref="AK44:AL44"/>
    <mergeCell ref="AK45:AL45"/>
    <mergeCell ref="AK46:AL46"/>
    <mergeCell ref="A44:AJ44"/>
    <mergeCell ref="A39:AL39"/>
    <mergeCell ref="A40:AL40"/>
    <mergeCell ref="A41:AL41"/>
    <mergeCell ref="A42:AL42"/>
    <mergeCell ref="AK43:AL43"/>
    <mergeCell ref="A43:AJ43"/>
    <mergeCell ref="A32:AL32"/>
    <mergeCell ref="A33:AL33"/>
    <mergeCell ref="A35:AL35"/>
    <mergeCell ref="A36:AL36"/>
    <mergeCell ref="A37:AL37"/>
    <mergeCell ref="A38:AL38"/>
    <mergeCell ref="A26:AL26"/>
    <mergeCell ref="A27:AL27"/>
    <mergeCell ref="A28:AL28"/>
    <mergeCell ref="A29:AL29"/>
    <mergeCell ref="A30:AL30"/>
    <mergeCell ref="A31:AL31"/>
    <mergeCell ref="A21:AL21"/>
    <mergeCell ref="A22:AL22"/>
    <mergeCell ref="A23:AL23"/>
    <mergeCell ref="A24:AL24"/>
    <mergeCell ref="AK25:AL25"/>
    <mergeCell ref="A25:AJ25"/>
    <mergeCell ref="A18:D18"/>
    <mergeCell ref="E18:AL18"/>
    <mergeCell ref="A19:D19"/>
    <mergeCell ref="E19:AL19"/>
    <mergeCell ref="A20:D20"/>
    <mergeCell ref="E20:AL20"/>
    <mergeCell ref="A15:D15"/>
    <mergeCell ref="E15:AL15"/>
    <mergeCell ref="A16:D16"/>
    <mergeCell ref="E16:AL16"/>
    <mergeCell ref="A17:D17"/>
    <mergeCell ref="E17:AL17"/>
    <mergeCell ref="A12:D12"/>
    <mergeCell ref="E12:AL12"/>
    <mergeCell ref="A13:D13"/>
    <mergeCell ref="E13:AL13"/>
    <mergeCell ref="A14:D14"/>
    <mergeCell ref="E14:AL14"/>
    <mergeCell ref="A1:AI1"/>
    <mergeCell ref="AJ1:AL1"/>
    <mergeCell ref="E10:AL10"/>
    <mergeCell ref="A11:D11"/>
    <mergeCell ref="E11:AL11"/>
    <mergeCell ref="A5:D5"/>
    <mergeCell ref="E5:AL5"/>
    <mergeCell ref="A6:D6"/>
    <mergeCell ref="E6:AL6"/>
    <mergeCell ref="A7:D7"/>
    <mergeCell ref="E7:AL7"/>
    <mergeCell ref="A10:D10"/>
    <mergeCell ref="A2:AL2"/>
    <mergeCell ref="A3:D3"/>
    <mergeCell ref="E3:AL3"/>
    <mergeCell ref="A4:D4"/>
    <mergeCell ref="E4:AL4"/>
    <mergeCell ref="A8:D8"/>
    <mergeCell ref="E8:AL8"/>
    <mergeCell ref="A9:D9"/>
    <mergeCell ref="E9:AL9"/>
  </mergeCells>
  <conditionalFormatting sqref="A17:D17 A4:D4 A8:D11 A13:D14">
    <cfRule type="cellIs" dxfId="53" priority="9" operator="equal">
      <formula>"no"</formula>
    </cfRule>
  </conditionalFormatting>
  <conditionalFormatting sqref="A5:D5">
    <cfRule type="cellIs" dxfId="52" priority="8" operator="equal">
      <formula>"no"</formula>
    </cfRule>
  </conditionalFormatting>
  <conditionalFormatting sqref="A6:D6">
    <cfRule type="cellIs" dxfId="51" priority="7" operator="equal">
      <formula>"no"</formula>
    </cfRule>
  </conditionalFormatting>
  <conditionalFormatting sqref="A15:D17">
    <cfRule type="cellIs" dxfId="50" priority="6" operator="equal">
      <formula>"no"</formula>
    </cfRule>
  </conditionalFormatting>
  <conditionalFormatting sqref="A12:D12">
    <cfRule type="cellIs" dxfId="49" priority="5" operator="equal">
      <formula>"no"</formula>
    </cfRule>
  </conditionalFormatting>
  <conditionalFormatting sqref="A16:D16">
    <cfRule type="cellIs" dxfId="48" priority="4" operator="equal">
      <formula>"no"</formula>
    </cfRule>
  </conditionalFormatting>
  <conditionalFormatting sqref="A18:D18">
    <cfRule type="cellIs" dxfId="47" priority="3" operator="equal">
      <formula>"no"</formula>
    </cfRule>
  </conditionalFormatting>
  <conditionalFormatting sqref="A19:D20">
    <cfRule type="cellIs" dxfId="46" priority="1" operator="equal">
      <formula>"no"</formula>
    </cfRule>
  </conditionalFormatting>
  <dataValidations count="8">
    <dataValidation type="list" allowBlank="1" sqref="P120:P123 P127:P131 P133:P144" xr:uid="{B4230658-3FF9-4EE5-AA41-B98F2336A354}">
      <formula1>"Cash,In-kind"</formula1>
    </dataValidation>
    <dataValidation allowBlank="1" showErrorMessage="1" sqref="A120:A123 B121:K123" xr:uid="{9913562C-B859-44E8-80CE-0ADDAC6F5D07}"/>
    <dataValidation allowBlank="1" sqref="A97:D108" xr:uid="{B6EDE0C4-04B9-422D-A469-10789AECAE8C}"/>
    <dataValidation type="list" allowBlank="1" showInputMessage="1" showErrorMessage="1" sqref="AK25:AL25 A17 A4:A6 AK54:AL57 AK43:AL46 A19:A20 A8:A14 AK49:AL52" xr:uid="{58A29BC3-02BB-4E29-A43C-E59DBEC94428}">
      <formula1>"Yes,No"</formula1>
    </dataValidation>
    <dataValidation type="list" allowBlank="1" sqref="AJ97:AL108" xr:uid="{5B1AE4A9-8266-448F-B200-32446C1B542F}">
      <formula1>"On-Site,Off-Site"</formula1>
    </dataValidation>
    <dataValidation type="list" allowBlank="1" sqref="AD97:AI108" xr:uid="{A88957BC-AE3A-4679-B331-83B57193A66F}">
      <formula1>"Lead Service Provider,Sponsor,Project Partner"</formula1>
    </dataValidation>
    <dataValidation type="list" allowBlank="1" showInputMessage="1" showErrorMessage="1" sqref="AK48:AL48" xr:uid="{A5EFA3A1-84A9-455A-BAB1-86B368FC3275}">
      <formula1>"Yes,No,N/A"</formula1>
    </dataValidation>
    <dataValidation type="list" allowBlank="1" showInputMessage="1" showErrorMessage="1" sqref="Y120:AG123 Y127:AG131 Y133:AG144" xr:uid="{A1BA9CEE-2E68-4446-B6DD-9B7A5E7F0955}">
      <formula1>"Committed,Not Committed,Intend to Fund or Provide"</formula1>
    </dataValidation>
  </dataValidations>
  <hyperlinks>
    <hyperlink ref="A30:AL30" r:id="rId1" display="e. Describe any additional eligibility criteria other than those indicated above, i.e., information needed to determine if applicant can comply with lease terms. Note: Selection criteria designed to assess anything other than the ability to comply with lease terms generally run afoul of fair housing laws designed to protect equal access to housing for people with disabilities. See Between the Lines, A Question and Answer Guide on Legal Issues in Supportive Housing Chapter 4." xr:uid="{7A2E4434-E03A-4BBE-8CE9-B22D7919CECE}"/>
  </hyperlinks>
  <printOptions horizontalCentered="1"/>
  <pageMargins left="0.25" right="0.25" top="0.5" bottom="0.3" header="0" footer="0"/>
  <pageSetup scale="63" fitToHeight="0" orientation="portrait" horizontalDpi="1200" verticalDpi="1200" r:id="rId2"/>
  <headerFooter scaleWithDoc="0" alignWithMargins="0">
    <oddFooter>&amp;L&amp;9Homekey Round 2&amp;C&amp;9Page &amp;P of &amp;N&amp;R&amp;"Arial,Italic"&amp;9&amp;A</oddFooter>
  </headerFooter>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B430-00F6-4C37-B595-2C5142C0CCE1}">
  <sheetPr codeName="Sheet11">
    <tabColor theme="4" tint="-0.249977111117893"/>
    <pageSetUpPr fitToPage="1"/>
  </sheetPr>
  <dimension ref="A1:AL32"/>
  <sheetViews>
    <sheetView showGridLines="0" workbookViewId="0">
      <selection activeCell="M3" sqref="M3:AK3"/>
    </sheetView>
  </sheetViews>
  <sheetFormatPr defaultColWidth="9.1796875" defaultRowHeight="14.5"/>
  <cols>
    <col min="1" max="38" width="4.1796875" style="39" customWidth="1"/>
    <col min="39" max="16384" width="9.1796875" style="39"/>
  </cols>
  <sheetData>
    <row r="1" spans="1:38" s="37" customFormat="1" ht="18">
      <c r="A1" s="1540" t="s">
        <v>528</v>
      </c>
      <c r="B1" s="1541"/>
      <c r="C1" s="1541"/>
      <c r="D1" s="1541"/>
      <c r="E1" s="1541"/>
      <c r="F1" s="1541"/>
      <c r="G1" s="1541"/>
      <c r="H1" s="1541"/>
      <c r="I1" s="1541"/>
      <c r="J1" s="1541"/>
      <c r="K1" s="1541"/>
      <c r="L1" s="1541"/>
      <c r="M1" s="1541"/>
      <c r="N1" s="1541"/>
      <c r="O1" s="1541"/>
      <c r="P1" s="1541"/>
      <c r="Q1" s="1541"/>
      <c r="R1" s="1541"/>
      <c r="S1" s="1541"/>
      <c r="T1" s="1541"/>
      <c r="U1" s="1541"/>
      <c r="V1" s="1541"/>
      <c r="W1" s="1541"/>
      <c r="X1" s="1541"/>
      <c r="Y1" s="1541"/>
      <c r="Z1" s="1541"/>
      <c r="AA1" s="1541"/>
      <c r="AB1" s="1541"/>
      <c r="AC1" s="1541"/>
      <c r="AD1" s="1541"/>
      <c r="AE1" s="1541"/>
      <c r="AF1" s="1541"/>
      <c r="AG1" s="1541"/>
      <c r="AH1" s="1541"/>
      <c r="AI1" s="1542"/>
      <c r="AJ1" s="1543">
        <f>CoverPage!B11</f>
        <v>44471</v>
      </c>
      <c r="AK1" s="1543"/>
      <c r="AL1" s="1544"/>
    </row>
    <row r="2" spans="1:38" s="33" customFormat="1" ht="45" customHeight="1">
      <c r="A2" s="1321" t="s">
        <v>529</v>
      </c>
      <c r="B2" s="1322"/>
      <c r="C2" s="1322"/>
      <c r="D2" s="1322"/>
      <c r="E2" s="1322"/>
      <c r="F2" s="1322"/>
      <c r="G2" s="1322"/>
      <c r="H2" s="1322"/>
      <c r="I2" s="1322"/>
      <c r="J2" s="1322"/>
      <c r="K2" s="1322"/>
      <c r="L2" s="1322"/>
      <c r="M2" s="1322"/>
      <c r="N2" s="1322"/>
      <c r="O2" s="1322"/>
      <c r="P2" s="1322"/>
      <c r="Q2" s="1322"/>
      <c r="R2" s="1322"/>
      <c r="S2" s="1322"/>
      <c r="T2" s="1322"/>
      <c r="U2" s="1322"/>
      <c r="V2" s="1322"/>
      <c r="W2" s="1322"/>
      <c r="X2" s="1322"/>
      <c r="Y2" s="1322"/>
      <c r="Z2" s="1322"/>
      <c r="AA2" s="1322"/>
      <c r="AB2" s="1322"/>
      <c r="AC2" s="1322"/>
      <c r="AD2" s="1322"/>
      <c r="AE2" s="1322"/>
      <c r="AF2" s="1322"/>
      <c r="AG2" s="1322"/>
      <c r="AH2" s="1322"/>
      <c r="AI2" s="1322"/>
      <c r="AJ2" s="1322"/>
      <c r="AK2" s="1322"/>
      <c r="AL2" s="1323"/>
    </row>
    <row r="3" spans="1:38" s="33" customFormat="1" ht="15" customHeight="1">
      <c r="A3" s="1532" t="s">
        <v>530</v>
      </c>
      <c r="B3" s="1533"/>
      <c r="C3" s="1533"/>
      <c r="D3" s="1533"/>
      <c r="E3" s="1533"/>
      <c r="F3" s="1533"/>
      <c r="G3" s="1533"/>
      <c r="H3" s="1533"/>
      <c r="I3" s="1533"/>
      <c r="J3" s="1533"/>
      <c r="K3" s="1533"/>
      <c r="L3" s="1533"/>
      <c r="M3" s="1545"/>
      <c r="N3" s="1546"/>
      <c r="O3" s="1546"/>
      <c r="P3" s="1546"/>
      <c r="Q3" s="1546"/>
      <c r="R3" s="1546"/>
      <c r="S3" s="1546"/>
      <c r="T3" s="1546"/>
      <c r="U3" s="1546"/>
      <c r="V3" s="1546"/>
      <c r="W3" s="1546"/>
      <c r="X3" s="1546"/>
      <c r="Y3" s="1546"/>
      <c r="Z3" s="1546"/>
      <c r="AA3" s="1546"/>
      <c r="AB3" s="1546"/>
      <c r="AC3" s="1546"/>
      <c r="AD3" s="1546"/>
      <c r="AE3" s="1546"/>
      <c r="AF3" s="1546"/>
      <c r="AG3" s="1546"/>
      <c r="AH3" s="1546"/>
      <c r="AI3" s="1546"/>
      <c r="AJ3" s="1546"/>
      <c r="AK3" s="1547"/>
      <c r="AL3" s="38"/>
    </row>
    <row r="4" spans="1:38" s="33" customFormat="1" ht="15" customHeight="1">
      <c r="A4" s="1532" t="s">
        <v>531</v>
      </c>
      <c r="B4" s="1533"/>
      <c r="C4" s="1533"/>
      <c r="D4" s="1533"/>
      <c r="E4" s="1533"/>
      <c r="F4" s="1533"/>
      <c r="G4" s="1533"/>
      <c r="H4" s="1533"/>
      <c r="I4" s="1533"/>
      <c r="J4" s="1533"/>
      <c r="K4" s="1533"/>
      <c r="L4" s="1533"/>
      <c r="M4" s="1534"/>
      <c r="N4" s="1535"/>
      <c r="O4" s="1535"/>
      <c r="P4" s="1535"/>
      <c r="Q4" s="1535"/>
      <c r="R4" s="1535"/>
      <c r="S4" s="1535"/>
      <c r="T4" s="1535"/>
      <c r="U4" s="1535"/>
      <c r="V4" s="1535"/>
      <c r="W4" s="1535"/>
      <c r="X4" s="1535"/>
      <c r="Y4" s="1535"/>
      <c r="Z4" s="1535"/>
      <c r="AA4" s="1535"/>
      <c r="AB4" s="1535"/>
      <c r="AC4" s="1535"/>
      <c r="AD4" s="1535"/>
      <c r="AE4" s="1535"/>
      <c r="AF4" s="1535"/>
      <c r="AG4" s="1535"/>
      <c r="AH4" s="1535"/>
      <c r="AI4" s="1535"/>
      <c r="AJ4" s="1535"/>
      <c r="AK4" s="1536"/>
      <c r="AL4" s="38"/>
    </row>
    <row r="5" spans="1:38" s="33" customFormat="1" ht="15" customHeight="1">
      <c r="A5" s="1532" t="s">
        <v>532</v>
      </c>
      <c r="B5" s="1533"/>
      <c r="C5" s="1533"/>
      <c r="D5" s="1533"/>
      <c r="E5" s="1533"/>
      <c r="F5" s="1533"/>
      <c r="G5" s="1533"/>
      <c r="H5" s="1533"/>
      <c r="I5" s="1533"/>
      <c r="J5" s="1533"/>
      <c r="K5" s="1533"/>
      <c r="L5" s="1533"/>
      <c r="M5" s="1534"/>
      <c r="N5" s="1535"/>
      <c r="O5" s="1535"/>
      <c r="P5" s="1535"/>
      <c r="Q5" s="1535"/>
      <c r="R5" s="1535"/>
      <c r="S5" s="1535"/>
      <c r="T5" s="1535"/>
      <c r="U5" s="1535"/>
      <c r="V5" s="1535"/>
      <c r="W5" s="1535"/>
      <c r="X5" s="1535"/>
      <c r="Y5" s="1535"/>
      <c r="Z5" s="1535"/>
      <c r="AA5" s="1535"/>
      <c r="AB5" s="1535"/>
      <c r="AC5" s="1535"/>
      <c r="AD5" s="1535"/>
      <c r="AE5" s="1535"/>
      <c r="AF5" s="1535"/>
      <c r="AG5" s="1535"/>
      <c r="AH5" s="1535"/>
      <c r="AI5" s="1535"/>
      <c r="AJ5" s="1535"/>
      <c r="AK5" s="1536"/>
      <c r="AL5" s="38"/>
    </row>
    <row r="6" spans="1:38" s="33" customFormat="1" ht="15" customHeight="1">
      <c r="A6" s="1532" t="s">
        <v>533</v>
      </c>
      <c r="B6" s="1533"/>
      <c r="C6" s="1533"/>
      <c r="D6" s="1533"/>
      <c r="E6" s="1533"/>
      <c r="F6" s="1533"/>
      <c r="G6" s="1533"/>
      <c r="H6" s="1533"/>
      <c r="I6" s="1533"/>
      <c r="J6" s="1533"/>
      <c r="K6" s="1533"/>
      <c r="L6" s="1533"/>
      <c r="M6" s="1534"/>
      <c r="N6" s="1535"/>
      <c r="O6" s="1535"/>
      <c r="P6" s="1535"/>
      <c r="Q6" s="1535"/>
      <c r="R6" s="1535"/>
      <c r="S6" s="1535"/>
      <c r="T6" s="1535"/>
      <c r="U6" s="1535"/>
      <c r="V6" s="1535"/>
      <c r="W6" s="1535"/>
      <c r="X6" s="1535"/>
      <c r="Y6" s="1535"/>
      <c r="Z6" s="1535"/>
      <c r="AA6" s="1535"/>
      <c r="AB6" s="1535"/>
      <c r="AC6" s="1535"/>
      <c r="AD6" s="1535"/>
      <c r="AE6" s="1535"/>
      <c r="AF6" s="1535"/>
      <c r="AG6" s="1535"/>
      <c r="AH6" s="1535"/>
      <c r="AI6" s="1535"/>
      <c r="AJ6" s="1535"/>
      <c r="AK6" s="1536"/>
      <c r="AL6" s="38"/>
    </row>
    <row r="7" spans="1:38" s="33" customFormat="1" ht="15" customHeight="1">
      <c r="A7" s="1532" t="s">
        <v>534</v>
      </c>
      <c r="B7" s="1533"/>
      <c r="C7" s="1533"/>
      <c r="D7" s="1533"/>
      <c r="E7" s="1533"/>
      <c r="F7" s="1533"/>
      <c r="G7" s="1533"/>
      <c r="H7" s="1533"/>
      <c r="I7" s="1533"/>
      <c r="J7" s="1533"/>
      <c r="K7" s="1533"/>
      <c r="L7" s="1533"/>
      <c r="M7" s="1534"/>
      <c r="N7" s="1535"/>
      <c r="O7" s="1535"/>
      <c r="P7" s="1535"/>
      <c r="Q7" s="1535"/>
      <c r="R7" s="1535"/>
      <c r="S7" s="1535"/>
      <c r="T7" s="1535"/>
      <c r="U7" s="1535"/>
      <c r="V7" s="1535"/>
      <c r="W7" s="1535"/>
      <c r="X7" s="1535"/>
      <c r="Y7" s="1535"/>
      <c r="Z7" s="1535"/>
      <c r="AA7" s="1535"/>
      <c r="AB7" s="1535"/>
      <c r="AC7" s="1535"/>
      <c r="AD7" s="1535"/>
      <c r="AE7" s="1535"/>
      <c r="AF7" s="1535"/>
      <c r="AG7" s="1535"/>
      <c r="AH7" s="1535"/>
      <c r="AI7" s="1535"/>
      <c r="AJ7" s="1535"/>
      <c r="AK7" s="1536"/>
      <c r="AL7" s="38"/>
    </row>
    <row r="8" spans="1:38" s="33" customFormat="1" ht="15" customHeight="1">
      <c r="A8" s="1532" t="s">
        <v>535</v>
      </c>
      <c r="B8" s="1533"/>
      <c r="C8" s="1533"/>
      <c r="D8" s="1533"/>
      <c r="E8" s="1533"/>
      <c r="F8" s="1533"/>
      <c r="G8" s="1533"/>
      <c r="H8" s="1533"/>
      <c r="I8" s="1533"/>
      <c r="J8" s="1533"/>
      <c r="K8" s="1533"/>
      <c r="L8" s="1533"/>
      <c r="M8" s="1534"/>
      <c r="N8" s="1535"/>
      <c r="O8" s="1535"/>
      <c r="P8" s="1535"/>
      <c r="Q8" s="1535"/>
      <c r="R8" s="1535"/>
      <c r="S8" s="1535"/>
      <c r="T8" s="1535"/>
      <c r="U8" s="1535"/>
      <c r="V8" s="1535"/>
      <c r="W8" s="1535"/>
      <c r="X8" s="1535"/>
      <c r="Y8" s="1535"/>
      <c r="Z8" s="1535"/>
      <c r="AA8" s="1535"/>
      <c r="AB8" s="1535"/>
      <c r="AC8" s="1535"/>
      <c r="AD8" s="1535"/>
      <c r="AE8" s="1535"/>
      <c r="AF8" s="1535"/>
      <c r="AG8" s="1535"/>
      <c r="AH8" s="1535"/>
      <c r="AI8" s="1535"/>
      <c r="AJ8" s="1535"/>
      <c r="AK8" s="1536"/>
      <c r="AL8" s="38"/>
    </row>
    <row r="9" spans="1:38" s="33" customFormat="1" ht="15" customHeight="1">
      <c r="A9" s="1532" t="s">
        <v>536</v>
      </c>
      <c r="B9" s="1533"/>
      <c r="C9" s="1533"/>
      <c r="D9" s="1533"/>
      <c r="E9" s="1533"/>
      <c r="F9" s="1533"/>
      <c r="G9" s="1533"/>
      <c r="H9" s="1533"/>
      <c r="I9" s="1533"/>
      <c r="J9" s="1533"/>
      <c r="K9" s="1533"/>
      <c r="L9" s="1533"/>
      <c r="M9" s="1534"/>
      <c r="N9" s="1535"/>
      <c r="O9" s="1535"/>
      <c r="P9" s="1535"/>
      <c r="Q9" s="1535"/>
      <c r="R9" s="1535"/>
      <c r="S9" s="1535"/>
      <c r="T9" s="1535"/>
      <c r="U9" s="1535"/>
      <c r="V9" s="1535"/>
      <c r="W9" s="1535"/>
      <c r="X9" s="1535"/>
      <c r="Y9" s="1535"/>
      <c r="Z9" s="1535"/>
      <c r="AA9" s="1535"/>
      <c r="AB9" s="1535"/>
      <c r="AC9" s="1535"/>
      <c r="AD9" s="1535"/>
      <c r="AE9" s="1535"/>
      <c r="AF9" s="1535"/>
      <c r="AG9" s="1535"/>
      <c r="AH9" s="1535"/>
      <c r="AI9" s="1535"/>
      <c r="AJ9" s="1535"/>
      <c r="AK9" s="1536"/>
      <c r="AL9" s="38"/>
    </row>
    <row r="10" spans="1:38" s="33" customFormat="1" ht="15" customHeight="1">
      <c r="A10" s="1532" t="s">
        <v>537</v>
      </c>
      <c r="B10" s="1533"/>
      <c r="C10" s="1533"/>
      <c r="D10" s="1533"/>
      <c r="E10" s="1533"/>
      <c r="F10" s="1533"/>
      <c r="G10" s="1533"/>
      <c r="H10" s="1533"/>
      <c r="I10" s="1533"/>
      <c r="J10" s="1533"/>
      <c r="K10" s="1533"/>
      <c r="L10" s="1533"/>
      <c r="M10" s="1537"/>
      <c r="N10" s="1538"/>
      <c r="O10" s="1538"/>
      <c r="P10" s="1538"/>
      <c r="Q10" s="1538"/>
      <c r="R10" s="1538"/>
      <c r="S10" s="1538"/>
      <c r="T10" s="1538"/>
      <c r="U10" s="1538"/>
      <c r="V10" s="1538"/>
      <c r="W10" s="1538"/>
      <c r="X10" s="1538"/>
      <c r="Y10" s="1538"/>
      <c r="Z10" s="1538"/>
      <c r="AA10" s="1538"/>
      <c r="AB10" s="1538"/>
      <c r="AC10" s="1538"/>
      <c r="AD10" s="1538"/>
      <c r="AE10" s="1538"/>
      <c r="AF10" s="1538"/>
      <c r="AG10" s="1538"/>
      <c r="AH10" s="1538"/>
      <c r="AI10" s="1538"/>
      <c r="AJ10" s="1538"/>
      <c r="AK10" s="1539"/>
      <c r="AL10" s="38"/>
    </row>
    <row r="11" spans="1:38" s="33" customFormat="1" ht="18" customHeight="1">
      <c r="A11" s="1516" t="s">
        <v>538</v>
      </c>
      <c r="B11" s="1517"/>
      <c r="C11" s="1517"/>
      <c r="D11" s="1517"/>
      <c r="E11" s="1517"/>
      <c r="F11" s="1517"/>
      <c r="G11" s="1517"/>
      <c r="H11" s="1517"/>
      <c r="I11" s="1517"/>
      <c r="J11" s="1517"/>
      <c r="K11" s="1517"/>
      <c r="L11" s="1517"/>
      <c r="M11" s="1517"/>
      <c r="N11" s="1517"/>
      <c r="O11" s="1517"/>
      <c r="P11" s="1517"/>
      <c r="Q11" s="1517"/>
      <c r="R11" s="1517"/>
      <c r="S11" s="1517"/>
      <c r="T11" s="1517"/>
      <c r="U11" s="1517"/>
      <c r="V11" s="1517"/>
      <c r="W11" s="1517"/>
      <c r="X11" s="1517"/>
      <c r="Y11" s="1517"/>
      <c r="Z11" s="1517"/>
      <c r="AA11" s="1517"/>
      <c r="AB11" s="1517"/>
      <c r="AC11" s="1517"/>
      <c r="AD11" s="1517"/>
      <c r="AE11" s="1517"/>
      <c r="AF11" s="1517"/>
      <c r="AG11" s="1517"/>
      <c r="AH11" s="1517"/>
      <c r="AI11" s="1517"/>
      <c r="AJ11" s="1517"/>
      <c r="AK11" s="1517"/>
      <c r="AL11" s="1518"/>
    </row>
    <row r="12" spans="1:38" s="33" customFormat="1" ht="45" customHeight="1">
      <c r="A12" s="1321" t="s">
        <v>539</v>
      </c>
      <c r="B12" s="1322"/>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2"/>
      <c r="AK12" s="1322"/>
      <c r="AL12" s="1323"/>
    </row>
    <row r="13" spans="1:38" s="33" customFormat="1" ht="30" customHeight="1">
      <c r="A13" s="1528"/>
      <c r="B13" s="1529"/>
      <c r="C13" s="1529"/>
      <c r="D13" s="1529"/>
      <c r="E13" s="1529"/>
      <c r="F13" s="1529"/>
      <c r="G13" s="1529"/>
      <c r="H13" s="1529"/>
      <c r="I13" s="1529"/>
      <c r="J13" s="1529"/>
      <c r="K13" s="1529"/>
      <c r="L13" s="1529"/>
      <c r="M13" s="1529"/>
      <c r="N13" s="1529"/>
      <c r="O13" s="1529"/>
      <c r="P13" s="1529"/>
      <c r="Q13" s="1529"/>
      <c r="R13" s="1529"/>
      <c r="S13" s="1529"/>
      <c r="T13" s="1529"/>
      <c r="U13" s="1529"/>
      <c r="V13" s="1529"/>
      <c r="W13" s="1529"/>
      <c r="X13" s="1530" t="s">
        <v>540</v>
      </c>
      <c r="Y13" s="1530"/>
      <c r="Z13" s="1530"/>
      <c r="AA13" s="1530"/>
      <c r="AB13" s="1530"/>
      <c r="AC13" s="1530" t="s">
        <v>541</v>
      </c>
      <c r="AD13" s="1530"/>
      <c r="AE13" s="1530"/>
      <c r="AF13" s="1530"/>
      <c r="AG13" s="1530"/>
      <c r="AH13" s="1530" t="s">
        <v>542</v>
      </c>
      <c r="AI13" s="1530"/>
      <c r="AJ13" s="1530"/>
      <c r="AK13" s="1530"/>
      <c r="AL13" s="1531"/>
    </row>
    <row r="14" spans="1:38" s="33" customFormat="1" ht="30" customHeight="1">
      <c r="A14" s="1315" t="s">
        <v>543</v>
      </c>
      <c r="B14" s="1316"/>
      <c r="C14" s="1316"/>
      <c r="D14" s="1316"/>
      <c r="E14" s="1316"/>
      <c r="F14" s="1316"/>
      <c r="G14" s="1316"/>
      <c r="H14" s="1316"/>
      <c r="I14" s="1316"/>
      <c r="J14" s="1316"/>
      <c r="K14" s="1316"/>
      <c r="L14" s="1316"/>
      <c r="M14" s="1316"/>
      <c r="N14" s="1316"/>
      <c r="O14" s="1316"/>
      <c r="P14" s="1316"/>
      <c r="Q14" s="1316"/>
      <c r="R14" s="1316"/>
      <c r="S14" s="1316"/>
      <c r="T14" s="1316"/>
      <c r="U14" s="1526" t="s">
        <v>190</v>
      </c>
      <c r="V14" s="1526"/>
      <c r="W14" s="1526"/>
      <c r="X14" s="1527"/>
      <c r="Y14" s="1527"/>
      <c r="Z14" s="1527"/>
      <c r="AA14" s="1527"/>
      <c r="AB14" s="1527"/>
      <c r="AC14" s="1511"/>
      <c r="AD14" s="1511"/>
      <c r="AE14" s="1511"/>
      <c r="AF14" s="1511"/>
      <c r="AG14" s="1511"/>
      <c r="AH14" s="1511"/>
      <c r="AI14" s="1511"/>
      <c r="AJ14" s="1511"/>
      <c r="AK14" s="1511"/>
      <c r="AL14" s="1512"/>
    </row>
    <row r="15" spans="1:38" s="33" customFormat="1" ht="30" customHeight="1">
      <c r="A15" s="1315"/>
      <c r="B15" s="1316"/>
      <c r="C15" s="1316"/>
      <c r="D15" s="1316"/>
      <c r="E15" s="1316"/>
      <c r="F15" s="1316"/>
      <c r="G15" s="1316"/>
      <c r="H15" s="1316"/>
      <c r="I15" s="1316"/>
      <c r="J15" s="1316"/>
      <c r="K15" s="1316"/>
      <c r="L15" s="1316"/>
      <c r="M15" s="1316"/>
      <c r="N15" s="1316"/>
      <c r="O15" s="1316"/>
      <c r="P15" s="1316"/>
      <c r="Q15" s="1316"/>
      <c r="R15" s="1316"/>
      <c r="S15" s="1316"/>
      <c r="T15" s="1316"/>
      <c r="U15" s="1526" t="s">
        <v>192</v>
      </c>
      <c r="V15" s="1526"/>
      <c r="W15" s="1526"/>
      <c r="X15" s="1527"/>
      <c r="Y15" s="1527"/>
      <c r="Z15" s="1527"/>
      <c r="AA15" s="1527"/>
      <c r="AB15" s="1527"/>
      <c r="AC15" s="1511"/>
      <c r="AD15" s="1511"/>
      <c r="AE15" s="1511"/>
      <c r="AF15" s="1511"/>
      <c r="AG15" s="1511"/>
      <c r="AH15" s="1511"/>
      <c r="AI15" s="1511"/>
      <c r="AJ15" s="1511"/>
      <c r="AK15" s="1511"/>
      <c r="AL15" s="1512"/>
    </row>
    <row r="16" spans="1:38" s="33" customFormat="1" ht="13.5" customHeight="1">
      <c r="A16" s="1513" t="s">
        <v>544</v>
      </c>
      <c r="B16" s="1514"/>
      <c r="C16" s="1514"/>
      <c r="D16" s="1514"/>
      <c r="E16" s="1514"/>
      <c r="F16" s="1514"/>
      <c r="G16" s="1514"/>
      <c r="H16" s="1514"/>
      <c r="I16" s="1514"/>
      <c r="J16" s="1514"/>
      <c r="K16" s="1514"/>
      <c r="L16" s="1514"/>
      <c r="M16" s="1514"/>
      <c r="N16" s="1514"/>
      <c r="O16" s="1514"/>
      <c r="P16" s="1514"/>
      <c r="Q16" s="1514"/>
      <c r="R16" s="1514"/>
      <c r="S16" s="1514"/>
      <c r="T16" s="1514"/>
      <c r="U16" s="1514"/>
      <c r="V16" s="1514"/>
      <c r="W16" s="1514"/>
      <c r="X16" s="1514"/>
      <c r="Y16" s="1514"/>
      <c r="Z16" s="1514"/>
      <c r="AA16" s="1514"/>
      <c r="AB16" s="1514"/>
      <c r="AC16" s="1514"/>
      <c r="AD16" s="1514"/>
      <c r="AE16" s="1514"/>
      <c r="AF16" s="1514"/>
      <c r="AG16" s="1514"/>
      <c r="AH16" s="1514"/>
      <c r="AI16" s="1514"/>
      <c r="AJ16" s="1514"/>
      <c r="AK16" s="1514"/>
      <c r="AL16" s="1515"/>
    </row>
    <row r="17" spans="1:38" s="33" customFormat="1" ht="18" customHeight="1">
      <c r="A17" s="1516" t="s">
        <v>545</v>
      </c>
      <c r="B17" s="1517"/>
      <c r="C17" s="1517"/>
      <c r="D17" s="1517"/>
      <c r="E17" s="1517"/>
      <c r="F17" s="1517"/>
      <c r="G17" s="1517"/>
      <c r="H17" s="1517"/>
      <c r="I17" s="1517"/>
      <c r="J17" s="1517"/>
      <c r="K17" s="1517"/>
      <c r="L17" s="1517"/>
      <c r="M17" s="1517"/>
      <c r="N17" s="1517"/>
      <c r="O17" s="1517"/>
      <c r="P17" s="1517"/>
      <c r="Q17" s="1517"/>
      <c r="R17" s="1517"/>
      <c r="S17" s="1517"/>
      <c r="T17" s="1517"/>
      <c r="U17" s="1517"/>
      <c r="V17" s="1517"/>
      <c r="W17" s="1517"/>
      <c r="X17" s="1517"/>
      <c r="Y17" s="1517"/>
      <c r="Z17" s="1517"/>
      <c r="AA17" s="1517"/>
      <c r="AB17" s="1517"/>
      <c r="AC17" s="1517"/>
      <c r="AD17" s="1517"/>
      <c r="AE17" s="1517"/>
      <c r="AF17" s="1517"/>
      <c r="AG17" s="1517"/>
      <c r="AH17" s="1517"/>
      <c r="AI17" s="1517"/>
      <c r="AJ17" s="1517"/>
      <c r="AK17" s="1517"/>
      <c r="AL17" s="1518"/>
    </row>
    <row r="18" spans="1:38" s="33" customFormat="1" ht="75" customHeight="1">
      <c r="A18" s="1498"/>
      <c r="B18" s="1499"/>
      <c r="C18" s="1499"/>
      <c r="D18" s="1499"/>
      <c r="E18" s="1499"/>
      <c r="F18" s="1499"/>
      <c r="G18" s="1499"/>
      <c r="H18" s="1499"/>
      <c r="I18" s="1499"/>
      <c r="J18" s="1499"/>
      <c r="K18" s="1499"/>
      <c r="L18" s="1499"/>
      <c r="M18" s="1499"/>
      <c r="N18" s="1499"/>
      <c r="O18" s="1499"/>
      <c r="P18" s="1499"/>
      <c r="Q18" s="1499"/>
      <c r="R18" s="1499"/>
      <c r="S18" s="1499"/>
      <c r="T18" s="1499"/>
      <c r="U18" s="1499"/>
      <c r="V18" s="1499"/>
      <c r="W18" s="1499"/>
      <c r="X18" s="1499"/>
      <c r="Y18" s="1499"/>
      <c r="Z18" s="1499"/>
      <c r="AA18" s="1499"/>
      <c r="AB18" s="1499"/>
      <c r="AC18" s="1499"/>
      <c r="AD18" s="1499"/>
      <c r="AE18" s="1499"/>
      <c r="AF18" s="1499"/>
      <c r="AG18" s="1499"/>
      <c r="AH18" s="1499"/>
      <c r="AI18" s="1499"/>
      <c r="AJ18" s="1499"/>
      <c r="AK18" s="1499"/>
      <c r="AL18" s="1500"/>
    </row>
    <row r="19" spans="1:38" s="33" customFormat="1" ht="46.5" customHeight="1">
      <c r="A19" s="1523" t="s">
        <v>546</v>
      </c>
      <c r="B19" s="1524"/>
      <c r="C19" s="1524"/>
      <c r="D19" s="1524"/>
      <c r="E19" s="1524"/>
      <c r="F19" s="1524"/>
      <c r="G19" s="1524"/>
      <c r="H19" s="1524"/>
      <c r="I19" s="1524"/>
      <c r="J19" s="1524"/>
      <c r="K19" s="1524"/>
      <c r="L19" s="1524"/>
      <c r="M19" s="1524"/>
      <c r="N19" s="1524"/>
      <c r="O19" s="1524"/>
      <c r="P19" s="1524"/>
      <c r="Q19" s="1524"/>
      <c r="R19" s="1524"/>
      <c r="S19" s="1524"/>
      <c r="T19" s="1524"/>
      <c r="U19" s="1524"/>
      <c r="V19" s="1524"/>
      <c r="W19" s="1524"/>
      <c r="X19" s="1524"/>
      <c r="Y19" s="1524"/>
      <c r="Z19" s="1524"/>
      <c r="AA19" s="1524"/>
      <c r="AB19" s="1524"/>
      <c r="AC19" s="1524"/>
      <c r="AD19" s="1524"/>
      <c r="AE19" s="1524"/>
      <c r="AF19" s="1524"/>
      <c r="AG19" s="1524"/>
      <c r="AH19" s="1524"/>
      <c r="AI19" s="1524"/>
      <c r="AJ19" s="1524"/>
      <c r="AK19" s="1524"/>
      <c r="AL19" s="1525"/>
    </row>
    <row r="20" spans="1:38" s="33" customFormat="1" ht="30" customHeight="1">
      <c r="A20" s="1519"/>
      <c r="B20" s="1520"/>
      <c r="C20" s="1520"/>
      <c r="D20" s="1520"/>
      <c r="E20" s="1520"/>
      <c r="F20" s="1520"/>
      <c r="G20" s="1520"/>
      <c r="H20" s="1520"/>
      <c r="I20" s="1520"/>
      <c r="J20" s="1520"/>
      <c r="K20" s="1520"/>
      <c r="L20" s="1520"/>
      <c r="M20" s="1520"/>
      <c r="N20" s="1520"/>
      <c r="O20" s="1520"/>
      <c r="P20" s="1520"/>
      <c r="Q20" s="1520"/>
      <c r="R20" s="1520"/>
      <c r="S20" s="1520"/>
      <c r="T20" s="1520"/>
      <c r="U20" s="1520"/>
      <c r="V20" s="1520"/>
      <c r="W20" s="1520"/>
      <c r="X20" s="1520"/>
      <c r="Y20" s="1520"/>
      <c r="Z20" s="1520"/>
      <c r="AA20" s="1520"/>
      <c r="AB20" s="1521"/>
      <c r="AC20" s="1346" t="s">
        <v>540</v>
      </c>
      <c r="AD20" s="1346"/>
      <c r="AE20" s="1346"/>
      <c r="AF20" s="1346"/>
      <c r="AG20" s="1346"/>
      <c r="AH20" s="1346" t="s">
        <v>547</v>
      </c>
      <c r="AI20" s="1346"/>
      <c r="AJ20" s="1346"/>
      <c r="AK20" s="1346"/>
      <c r="AL20" s="1522"/>
    </row>
    <row r="21" spans="1:38" s="33" customFormat="1" ht="30" customHeight="1">
      <c r="A21" s="1491" t="s">
        <v>548</v>
      </c>
      <c r="B21" s="1492"/>
      <c r="C21" s="1492"/>
      <c r="D21" s="1492"/>
      <c r="E21" s="1492"/>
      <c r="F21" s="1492"/>
      <c r="G21" s="1492"/>
      <c r="H21" s="1492"/>
      <c r="I21" s="1492"/>
      <c r="J21" s="1492"/>
      <c r="K21" s="1492"/>
      <c r="L21" s="1492"/>
      <c r="M21" s="1492"/>
      <c r="N21" s="1492"/>
      <c r="O21" s="1492"/>
      <c r="P21" s="1492"/>
      <c r="Q21" s="1492"/>
      <c r="R21" s="1492"/>
      <c r="S21" s="1492"/>
      <c r="T21" s="1492"/>
      <c r="U21" s="1492"/>
      <c r="V21" s="1492"/>
      <c r="W21" s="1492"/>
      <c r="X21" s="1492"/>
      <c r="Y21" s="1492"/>
      <c r="Z21" s="1492"/>
      <c r="AA21" s="1492"/>
      <c r="AB21" s="1493"/>
      <c r="AC21" s="1494"/>
      <c r="AD21" s="1494"/>
      <c r="AE21" s="1494"/>
      <c r="AF21" s="1494"/>
      <c r="AG21" s="1494"/>
      <c r="AH21" s="1495"/>
      <c r="AI21" s="1495"/>
      <c r="AJ21" s="1495"/>
      <c r="AK21" s="1495"/>
      <c r="AL21" s="1496"/>
    </row>
    <row r="22" spans="1:38" s="33" customFormat="1" ht="13.5" customHeight="1">
      <c r="A22" s="1315" t="s">
        <v>544</v>
      </c>
      <c r="B22" s="1316"/>
      <c r="C22" s="1316"/>
      <c r="D22" s="1316"/>
      <c r="E22" s="1316"/>
      <c r="F22" s="1316"/>
      <c r="G22" s="1316"/>
      <c r="H22" s="1316"/>
      <c r="I22" s="1316"/>
      <c r="J22" s="1316"/>
      <c r="K22" s="1316"/>
      <c r="L22" s="1316"/>
      <c r="M22" s="1316"/>
      <c r="N22" s="1316"/>
      <c r="O22" s="1316"/>
      <c r="P22" s="1316"/>
      <c r="Q22" s="1316"/>
      <c r="R22" s="1316"/>
      <c r="S22" s="1316"/>
      <c r="T22" s="1316"/>
      <c r="U22" s="1316"/>
      <c r="V22" s="1316"/>
      <c r="W22" s="1316"/>
      <c r="X22" s="1316"/>
      <c r="Y22" s="1316"/>
      <c r="Z22" s="1316"/>
      <c r="AA22" s="1316"/>
      <c r="AB22" s="1316"/>
      <c r="AC22" s="1316"/>
      <c r="AD22" s="1316"/>
      <c r="AE22" s="1316"/>
      <c r="AF22" s="1316"/>
      <c r="AG22" s="1316"/>
      <c r="AH22" s="1316"/>
      <c r="AI22" s="1316"/>
      <c r="AJ22" s="1316"/>
      <c r="AK22" s="1316"/>
      <c r="AL22" s="1497"/>
    </row>
    <row r="23" spans="1:38" s="33" customFormat="1" ht="75" customHeight="1">
      <c r="A23" s="1498"/>
      <c r="B23" s="1499"/>
      <c r="C23" s="1499"/>
      <c r="D23" s="1499"/>
      <c r="E23" s="1499"/>
      <c r="F23" s="1499"/>
      <c r="G23" s="1499"/>
      <c r="H23" s="1499"/>
      <c r="I23" s="1499"/>
      <c r="J23" s="1499"/>
      <c r="K23" s="1499"/>
      <c r="L23" s="1499"/>
      <c r="M23" s="1499"/>
      <c r="N23" s="1499"/>
      <c r="O23" s="1499"/>
      <c r="P23" s="1499"/>
      <c r="Q23" s="1499"/>
      <c r="R23" s="1499"/>
      <c r="S23" s="1499"/>
      <c r="T23" s="1499"/>
      <c r="U23" s="1499"/>
      <c r="V23" s="1499"/>
      <c r="W23" s="1499"/>
      <c r="X23" s="1499"/>
      <c r="Y23" s="1499"/>
      <c r="Z23" s="1499"/>
      <c r="AA23" s="1499"/>
      <c r="AB23" s="1499"/>
      <c r="AC23" s="1499"/>
      <c r="AD23" s="1499"/>
      <c r="AE23" s="1499"/>
      <c r="AF23" s="1499"/>
      <c r="AG23" s="1499"/>
      <c r="AH23" s="1499"/>
      <c r="AI23" s="1499"/>
      <c r="AJ23" s="1499"/>
      <c r="AK23" s="1499"/>
      <c r="AL23" s="1500"/>
    </row>
    <row r="24" spans="1:38" s="33" customFormat="1" ht="105" customHeight="1" thickBot="1">
      <c r="A24" s="1501" t="s">
        <v>549</v>
      </c>
      <c r="B24" s="1502"/>
      <c r="C24" s="1502"/>
      <c r="D24" s="1502"/>
      <c r="E24" s="1502"/>
      <c r="F24" s="1502"/>
      <c r="G24" s="1502"/>
      <c r="H24" s="1502"/>
      <c r="I24" s="1502"/>
      <c r="J24" s="1502"/>
      <c r="K24" s="1502"/>
      <c r="L24" s="1502"/>
      <c r="M24" s="1502"/>
      <c r="N24" s="1502"/>
      <c r="O24" s="1502"/>
      <c r="P24" s="1502"/>
      <c r="Q24" s="1502"/>
      <c r="R24" s="1502"/>
      <c r="S24" s="1502"/>
      <c r="T24" s="1502"/>
      <c r="U24" s="1502"/>
      <c r="V24" s="1502"/>
      <c r="W24" s="1502"/>
      <c r="X24" s="1502"/>
      <c r="Y24" s="1502"/>
      <c r="Z24" s="1502"/>
      <c r="AA24" s="1502"/>
      <c r="AB24" s="1502"/>
      <c r="AC24" s="1502"/>
      <c r="AD24" s="1502"/>
      <c r="AE24" s="1502"/>
      <c r="AF24" s="1502"/>
      <c r="AG24" s="1502"/>
      <c r="AH24" s="1502"/>
      <c r="AI24" s="1502"/>
      <c r="AJ24" s="1503"/>
      <c r="AK24" s="1503"/>
      <c r="AL24" s="1504"/>
    </row>
    <row r="25" spans="1:38" s="33" customFormat="1" ht="30" customHeight="1" thickTop="1">
      <c r="A25" s="1505" t="s">
        <v>550</v>
      </c>
      <c r="B25" s="1506"/>
      <c r="C25" s="1506"/>
      <c r="D25" s="1506"/>
      <c r="E25" s="1506"/>
      <c r="F25" s="1506"/>
      <c r="G25" s="1506"/>
      <c r="H25" s="1506"/>
      <c r="I25" s="1506"/>
      <c r="J25" s="1506"/>
      <c r="K25" s="1506"/>
      <c r="L25" s="1506"/>
      <c r="M25" s="1506"/>
      <c r="N25" s="1506"/>
      <c r="O25" s="1506"/>
      <c r="P25" s="1506"/>
      <c r="Q25" s="1506"/>
      <c r="R25" s="1506"/>
      <c r="S25" s="1506"/>
      <c r="T25" s="1506"/>
      <c r="U25" s="1506"/>
      <c r="V25" s="1506"/>
      <c r="W25" s="1506"/>
      <c r="X25" s="1506"/>
      <c r="Y25" s="1506"/>
      <c r="Z25" s="1506"/>
      <c r="AA25" s="1506"/>
      <c r="AB25" s="1506"/>
      <c r="AC25" s="1506"/>
      <c r="AD25" s="1506"/>
      <c r="AE25" s="1506"/>
      <c r="AF25" s="1506"/>
      <c r="AG25" s="1506"/>
      <c r="AH25" s="1506"/>
      <c r="AI25" s="1506"/>
      <c r="AJ25" s="1506"/>
      <c r="AK25" s="1506"/>
      <c r="AL25" s="1507"/>
    </row>
    <row r="26" spans="1:38" s="33" customFormat="1" ht="15" customHeight="1">
      <c r="A26" s="1508" t="s">
        <v>551</v>
      </c>
      <c r="B26" s="1509"/>
      <c r="C26" s="1509"/>
      <c r="D26" s="1509"/>
      <c r="E26" s="1509"/>
      <c r="F26" s="1509"/>
      <c r="G26" s="1509"/>
      <c r="H26" s="1509"/>
      <c r="I26" s="1509"/>
      <c r="J26" s="1509"/>
      <c r="K26" s="1509"/>
      <c r="L26" s="1509"/>
      <c r="M26" s="1509"/>
      <c r="N26" s="1509"/>
      <c r="O26" s="1509"/>
      <c r="P26" s="1509"/>
      <c r="Q26" s="1509"/>
      <c r="R26" s="1509"/>
      <c r="S26" s="1509"/>
      <c r="T26" s="1509"/>
      <c r="U26" s="1509"/>
      <c r="V26" s="1509"/>
      <c r="W26" s="1509"/>
      <c r="X26" s="1509"/>
      <c r="Y26" s="1509"/>
      <c r="Z26" s="1509"/>
      <c r="AA26" s="1509"/>
      <c r="AB26" s="1509"/>
      <c r="AC26" s="1509"/>
      <c r="AD26" s="1509"/>
      <c r="AE26" s="1509"/>
      <c r="AF26" s="1509"/>
      <c r="AG26" s="1509"/>
      <c r="AH26" s="1509"/>
      <c r="AI26" s="1510"/>
      <c r="AJ26" s="1511"/>
      <c r="AK26" s="1511"/>
      <c r="AL26" s="1512"/>
    </row>
    <row r="27" spans="1:38" s="33" customFormat="1" ht="15" customHeight="1">
      <c r="A27" s="1484" t="s">
        <v>552</v>
      </c>
      <c r="B27" s="1485"/>
      <c r="C27" s="1485"/>
      <c r="D27" s="1485"/>
      <c r="E27" s="1485"/>
      <c r="F27" s="1485"/>
      <c r="G27" s="1485"/>
      <c r="H27" s="1485"/>
      <c r="I27" s="1485"/>
      <c r="J27" s="1485"/>
      <c r="K27" s="1485"/>
      <c r="L27" s="1485"/>
      <c r="M27" s="1486"/>
      <c r="N27" s="1486"/>
      <c r="O27" s="1486"/>
      <c r="P27" s="1486"/>
      <c r="Q27" s="1486"/>
      <c r="R27" s="1486"/>
      <c r="S27" s="1486"/>
      <c r="T27" s="1486"/>
      <c r="U27" s="1486"/>
      <c r="V27" s="1486"/>
      <c r="W27" s="1486"/>
      <c r="X27" s="1486"/>
      <c r="Y27" s="1486"/>
      <c r="Z27" s="1486"/>
      <c r="AA27" s="1486"/>
      <c r="AB27" s="1486"/>
      <c r="AC27" s="1486"/>
      <c r="AD27" s="1486"/>
      <c r="AE27" s="1486"/>
      <c r="AF27" s="1486"/>
      <c r="AG27" s="1486"/>
      <c r="AH27" s="1486"/>
      <c r="AI27" s="1486"/>
      <c r="AJ27" s="1486"/>
      <c r="AK27" s="1486"/>
      <c r="AL27" s="1487"/>
    </row>
    <row r="28" spans="1:38" s="33" customFormat="1" ht="30" customHeight="1">
      <c r="A28" s="1488" t="s">
        <v>553</v>
      </c>
      <c r="B28" s="1485"/>
      <c r="C28" s="1485"/>
      <c r="D28" s="1485"/>
      <c r="E28" s="1485"/>
      <c r="F28" s="1485"/>
      <c r="G28" s="1485"/>
      <c r="H28" s="1485"/>
      <c r="I28" s="1485"/>
      <c r="J28" s="1485"/>
      <c r="K28" s="1485"/>
      <c r="L28" s="1485"/>
      <c r="M28" s="1489"/>
      <c r="N28" s="1489"/>
      <c r="O28" s="1489"/>
      <c r="P28" s="1489"/>
      <c r="Q28" s="1489"/>
      <c r="R28" s="1489"/>
      <c r="S28" s="1489"/>
      <c r="T28" s="1489"/>
      <c r="U28" s="1489"/>
      <c r="V28" s="1489"/>
      <c r="W28" s="1489"/>
      <c r="X28" s="1489"/>
      <c r="Y28" s="1489"/>
      <c r="Z28" s="1489"/>
      <c r="AA28" s="1489"/>
      <c r="AB28" s="1489"/>
      <c r="AC28" s="1489"/>
      <c r="AD28" s="1489"/>
      <c r="AE28" s="1489"/>
      <c r="AF28" s="1489"/>
      <c r="AG28" s="1489"/>
      <c r="AH28" s="1489"/>
      <c r="AI28" s="1489"/>
      <c r="AJ28" s="1489"/>
      <c r="AK28" s="1489"/>
      <c r="AL28" s="1490"/>
    </row>
    <row r="29" spans="1:38" s="33" customFormat="1" ht="15" customHeight="1">
      <c r="A29" s="1484" t="s">
        <v>554</v>
      </c>
      <c r="B29" s="1485"/>
      <c r="C29" s="1485"/>
      <c r="D29" s="1485"/>
      <c r="E29" s="1485"/>
      <c r="F29" s="1485"/>
      <c r="G29" s="1485"/>
      <c r="H29" s="1485"/>
      <c r="I29" s="1485"/>
      <c r="J29" s="1485"/>
      <c r="K29" s="1485"/>
      <c r="L29" s="1485"/>
      <c r="M29" s="1486"/>
      <c r="N29" s="1486"/>
      <c r="O29" s="1486"/>
      <c r="P29" s="1486"/>
      <c r="Q29" s="1486"/>
      <c r="R29" s="1486"/>
      <c r="S29" s="1486"/>
      <c r="T29" s="1486"/>
      <c r="U29" s="1486"/>
      <c r="V29" s="1486"/>
      <c r="W29" s="1486"/>
      <c r="X29" s="1486"/>
      <c r="Y29" s="1486"/>
      <c r="Z29" s="1486"/>
      <c r="AA29" s="1486"/>
      <c r="AB29" s="1486"/>
      <c r="AC29" s="1486"/>
      <c r="AD29" s="1486"/>
      <c r="AE29" s="1486"/>
      <c r="AF29" s="1486"/>
      <c r="AG29" s="1486"/>
      <c r="AH29" s="1486"/>
      <c r="AI29" s="1486"/>
      <c r="AJ29" s="1486"/>
      <c r="AK29" s="1486"/>
      <c r="AL29" s="1487"/>
    </row>
    <row r="30" spans="1:38" s="33" customFormat="1" ht="15" customHeight="1">
      <c r="A30" s="1484" t="s">
        <v>555</v>
      </c>
      <c r="B30" s="1485"/>
      <c r="C30" s="1485"/>
      <c r="D30" s="1485"/>
      <c r="E30" s="1485"/>
      <c r="F30" s="1485"/>
      <c r="G30" s="1485"/>
      <c r="H30" s="1485"/>
      <c r="I30" s="1485"/>
      <c r="J30" s="1485"/>
      <c r="K30" s="1485"/>
      <c r="L30" s="1485"/>
      <c r="M30" s="1486"/>
      <c r="N30" s="1486"/>
      <c r="O30" s="1486"/>
      <c r="P30" s="1486"/>
      <c r="Q30" s="1486"/>
      <c r="R30" s="1486"/>
      <c r="S30" s="1486"/>
      <c r="T30" s="1486"/>
      <c r="U30" s="1486"/>
      <c r="V30" s="1486"/>
      <c r="W30" s="1486"/>
      <c r="X30" s="1486"/>
      <c r="Y30" s="1486"/>
      <c r="Z30" s="1486"/>
      <c r="AA30" s="1486"/>
      <c r="AB30" s="1486"/>
      <c r="AC30" s="1486"/>
      <c r="AD30" s="1486"/>
      <c r="AE30" s="1486"/>
      <c r="AF30" s="1486"/>
      <c r="AG30" s="1486"/>
      <c r="AH30" s="1486"/>
      <c r="AI30" s="1486"/>
      <c r="AJ30" s="1486"/>
      <c r="AK30" s="1486"/>
      <c r="AL30" s="1487"/>
    </row>
    <row r="31" spans="1:38" s="33" customFormat="1" ht="15" customHeight="1">
      <c r="A31" s="1484" t="s">
        <v>556</v>
      </c>
      <c r="B31" s="1485"/>
      <c r="C31" s="1485"/>
      <c r="D31" s="1485"/>
      <c r="E31" s="1485"/>
      <c r="F31" s="1485"/>
      <c r="G31" s="1485"/>
      <c r="H31" s="1485"/>
      <c r="I31" s="1485"/>
      <c r="J31" s="1485"/>
      <c r="K31" s="1485"/>
      <c r="L31" s="1485"/>
      <c r="M31" s="1486"/>
      <c r="N31" s="1486"/>
      <c r="O31" s="1486"/>
      <c r="P31" s="1486"/>
      <c r="Q31" s="1486"/>
      <c r="R31" s="1486"/>
      <c r="S31" s="1486"/>
      <c r="T31" s="1486"/>
      <c r="U31" s="1486"/>
      <c r="V31" s="1486"/>
      <c r="W31" s="1486"/>
      <c r="X31" s="1486"/>
      <c r="Y31" s="1486"/>
      <c r="Z31" s="1486"/>
      <c r="AA31" s="1486"/>
      <c r="AB31" s="1486"/>
      <c r="AC31" s="1486"/>
      <c r="AD31" s="1486"/>
      <c r="AE31" s="1486"/>
      <c r="AF31" s="1486"/>
      <c r="AG31" s="1486"/>
      <c r="AH31" s="1486"/>
      <c r="AI31" s="1486"/>
      <c r="AJ31" s="1486"/>
      <c r="AK31" s="1486"/>
      <c r="AL31" s="1487"/>
    </row>
    <row r="32" spans="1:38" s="33" customFormat="1" ht="15" customHeight="1" thickBot="1">
      <c r="A32" s="1480" t="s">
        <v>557</v>
      </c>
      <c r="B32" s="1481"/>
      <c r="C32" s="1481"/>
      <c r="D32" s="1481"/>
      <c r="E32" s="1481"/>
      <c r="F32" s="1481"/>
      <c r="G32" s="1481"/>
      <c r="H32" s="1481"/>
      <c r="I32" s="1481"/>
      <c r="J32" s="1481"/>
      <c r="K32" s="1481"/>
      <c r="L32" s="1481"/>
      <c r="M32" s="1482"/>
      <c r="N32" s="1482"/>
      <c r="O32" s="1482"/>
      <c r="P32" s="1482"/>
      <c r="Q32" s="1482"/>
      <c r="R32" s="1482"/>
      <c r="S32" s="1482"/>
      <c r="T32" s="1482"/>
      <c r="U32" s="1482"/>
      <c r="V32" s="1482"/>
      <c r="W32" s="1482"/>
      <c r="X32" s="1482"/>
      <c r="Y32" s="1482"/>
      <c r="Z32" s="1482"/>
      <c r="AA32" s="1482"/>
      <c r="AB32" s="1482"/>
      <c r="AC32" s="1482"/>
      <c r="AD32" s="1482"/>
      <c r="AE32" s="1482"/>
      <c r="AF32" s="1482"/>
      <c r="AG32" s="1482"/>
      <c r="AH32" s="1482"/>
      <c r="AI32" s="1482"/>
      <c r="AJ32" s="1482"/>
      <c r="AK32" s="1482"/>
      <c r="AL32" s="1483"/>
    </row>
  </sheetData>
  <sheetProtection algorithmName="SHA-512" hashValue="yHFwJjmSnGcjWWsrRI9wMOj8D4GrtZoxLy2nERyf9JqMzJVqdP27SNaPRjXtZZWmBtCLd3Mw2p9NyAMqQHTqpQ==" saltValue="JeysOkOhEFNXFK2m4mUctA==" spinCount="100000" sheet="1" formatRows="0"/>
  <mergeCells count="63">
    <mergeCell ref="A4:L4"/>
    <mergeCell ref="M4:AK4"/>
    <mergeCell ref="A1:AI1"/>
    <mergeCell ref="AJ1:AL1"/>
    <mergeCell ref="A2:AL2"/>
    <mergeCell ref="A3:L3"/>
    <mergeCell ref="M3:AK3"/>
    <mergeCell ref="A5:L5"/>
    <mergeCell ref="M5:AK5"/>
    <mergeCell ref="A6:L6"/>
    <mergeCell ref="M6:AK6"/>
    <mergeCell ref="A7:L7"/>
    <mergeCell ref="M7:AK7"/>
    <mergeCell ref="A8:L8"/>
    <mergeCell ref="M8:AK8"/>
    <mergeCell ref="A9:L9"/>
    <mergeCell ref="M9:AK9"/>
    <mergeCell ref="A10:L10"/>
    <mergeCell ref="M10:AK10"/>
    <mergeCell ref="A11:AL11"/>
    <mergeCell ref="A12:AL12"/>
    <mergeCell ref="A13:W13"/>
    <mergeCell ref="X13:AB13"/>
    <mergeCell ref="AC13:AG13"/>
    <mergeCell ref="AH13:AL13"/>
    <mergeCell ref="A14:T15"/>
    <mergeCell ref="U14:W14"/>
    <mergeCell ref="X14:AB14"/>
    <mergeCell ref="AC14:AG14"/>
    <mergeCell ref="AH14:AL14"/>
    <mergeCell ref="U15:W15"/>
    <mergeCell ref="X15:AB15"/>
    <mergeCell ref="AC15:AG15"/>
    <mergeCell ref="AH15:AL15"/>
    <mergeCell ref="A16:AL16"/>
    <mergeCell ref="A17:AL17"/>
    <mergeCell ref="A18:AL18"/>
    <mergeCell ref="A20:AB20"/>
    <mergeCell ref="AC20:AG20"/>
    <mergeCell ref="AH20:AL20"/>
    <mergeCell ref="A19:AL19"/>
    <mergeCell ref="A28:L28"/>
    <mergeCell ref="M28:AL28"/>
    <mergeCell ref="A21:AB21"/>
    <mergeCell ref="AC21:AG21"/>
    <mergeCell ref="AH21:AL21"/>
    <mergeCell ref="A22:AL22"/>
    <mergeCell ref="A23:AL23"/>
    <mergeCell ref="A24:AI24"/>
    <mergeCell ref="AJ24:AL24"/>
    <mergeCell ref="A25:AL25"/>
    <mergeCell ref="A26:AI26"/>
    <mergeCell ref="AJ26:AL26"/>
    <mergeCell ref="A27:L27"/>
    <mergeCell ref="M27:AL27"/>
    <mergeCell ref="A32:L32"/>
    <mergeCell ref="M32:AL32"/>
    <mergeCell ref="A29:L29"/>
    <mergeCell ref="M29:AL29"/>
    <mergeCell ref="A30:L30"/>
    <mergeCell ref="M30:AL30"/>
    <mergeCell ref="A31:L31"/>
    <mergeCell ref="M31:AL31"/>
  </mergeCells>
  <dataValidations count="3">
    <dataValidation type="list" allowBlank="1" showInputMessage="1" showErrorMessage="1" sqref="AJ24" xr:uid="{C6DE8EDC-6B85-4E2E-9C50-D459F38B7DEC}">
      <formula1>"Yes, No,N/A"</formula1>
    </dataValidation>
    <dataValidation type="list" allowBlank="1" showInputMessage="1" showErrorMessage="1" sqref="AJ24" xr:uid="{8EC0ABE5-7D58-49CE-9E3F-5DC927C74338}">
      <formula1>"Yes, No"</formula1>
    </dataValidation>
    <dataValidation type="list" allowBlank="1" showInputMessage="1" showErrorMessage="1" sqref="X14:X15 AC21:AC23" xr:uid="{F473A80D-C923-4815-A18A-A321BF4370AA}">
      <formula1>"X"</formula1>
    </dataValidation>
  </dataValidations>
  <printOptions horizontalCentered="1"/>
  <pageMargins left="0.25" right="0.25" top="0.5" bottom="0.3" header="0" footer="0"/>
  <pageSetup scale="65" fitToHeight="0" orientation="portrait" r:id="rId1"/>
  <headerFooter scaleWithDoc="0" alignWithMargins="0">
    <oddFooter>&amp;L&amp;9Homekey Round 2&amp;C&amp;9Page &amp;P of &amp;N&amp;R&amp;"Arial,Italic"&amp;9&amp;A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31F92-AAB2-4202-B31A-05547161DB15}">
  <sheetPr codeName="Sheet5">
    <tabColor theme="7" tint="-0.249977111117893"/>
    <pageSetUpPr fitToPage="1"/>
  </sheetPr>
  <dimension ref="A1:AT53"/>
  <sheetViews>
    <sheetView showGridLines="0" zoomScaleNormal="100" zoomScaleSheetLayoutView="100" workbookViewId="0">
      <selection activeCell="A5" sqref="A5"/>
    </sheetView>
  </sheetViews>
  <sheetFormatPr defaultColWidth="8" defaultRowHeight="12.5"/>
  <cols>
    <col min="1" max="1" width="5.7265625" style="1" customWidth="1"/>
    <col min="2" max="2" width="11.453125" style="1" customWidth="1"/>
    <col min="3" max="3" width="11.1796875" style="1" customWidth="1"/>
    <col min="4" max="4" width="5.7265625" style="1" customWidth="1"/>
    <col min="5" max="6" width="11.1796875" style="1" customWidth="1"/>
    <col min="7" max="7" width="9.453125" style="1" customWidth="1"/>
    <col min="8" max="8" width="6.54296875" style="1" customWidth="1"/>
    <col min="9" max="9" width="10.7265625" style="1" customWidth="1"/>
    <col min="10" max="10" width="12" style="1" customWidth="1"/>
    <col min="11" max="11" width="12.1796875" style="1" customWidth="1"/>
    <col min="12" max="12" width="11.1796875" style="1" customWidth="1"/>
    <col min="13" max="13" width="13" style="1" customWidth="1"/>
    <col min="14" max="14" width="13.26953125" style="1" customWidth="1"/>
    <col min="15" max="15" width="13" style="1" customWidth="1"/>
    <col min="16" max="16" width="13.26953125" style="1" customWidth="1"/>
    <col min="17" max="17" width="13.453125" style="1" customWidth="1"/>
    <col min="18" max="19" width="13" style="1" customWidth="1"/>
    <col min="20" max="20" width="13.453125" style="1" customWidth="1"/>
    <col min="21" max="21" width="9.81640625" style="1" customWidth="1"/>
    <col min="22" max="24" width="14.453125" style="1" bestFit="1" customWidth="1"/>
    <col min="25" max="25" width="9.1796875" style="1" customWidth="1"/>
    <col min="26" max="26" width="8.81640625" style="1" customWidth="1"/>
    <col min="27" max="32" width="14.453125" style="1" bestFit="1" customWidth="1"/>
    <col min="33" max="34" width="11.81640625" style="1" customWidth="1"/>
    <col min="35" max="36" width="13.26953125" style="1" customWidth="1"/>
    <col min="37" max="37" width="14.453125" style="1" bestFit="1" customWidth="1"/>
    <col min="38" max="38" width="10.453125" style="1" hidden="1" customWidth="1"/>
    <col min="39" max="44" width="11.7265625" style="1" hidden="1" customWidth="1"/>
    <col min="45" max="45" width="20.26953125" style="1" hidden="1" customWidth="1"/>
    <col min="46" max="46" width="15.1796875" style="1" customWidth="1"/>
    <col min="47" max="16384" width="8" style="1"/>
  </cols>
  <sheetData>
    <row r="1" spans="1:46" ht="20.149999999999999" customHeight="1" thickBot="1">
      <c r="A1" s="1573" t="s">
        <v>558</v>
      </c>
      <c r="B1" s="1573"/>
      <c r="C1" s="1573"/>
      <c r="D1" s="1573"/>
      <c r="E1" s="1573"/>
      <c r="F1" s="1573"/>
      <c r="G1" s="1573"/>
      <c r="H1" s="1573"/>
      <c r="I1" s="1573"/>
      <c r="J1" s="1573"/>
      <c r="K1" s="1573"/>
      <c r="L1" s="1573"/>
      <c r="M1" s="1573"/>
      <c r="N1" s="1573"/>
      <c r="O1" s="1573"/>
      <c r="P1" s="1573"/>
      <c r="Q1" s="1573"/>
      <c r="R1" s="1573"/>
      <c r="S1" s="1573"/>
      <c r="T1" s="1573"/>
      <c r="U1" s="1573"/>
      <c r="V1" s="391"/>
      <c r="W1" s="391"/>
      <c r="X1" s="391"/>
      <c r="Y1" s="391"/>
      <c r="Z1" s="391"/>
      <c r="AA1" s="391"/>
      <c r="AB1" s="391"/>
      <c r="AC1" s="391"/>
      <c r="AD1" s="391"/>
      <c r="AE1" s="391"/>
      <c r="AF1" s="391"/>
      <c r="AG1" s="391"/>
      <c r="AH1" s="391"/>
      <c r="AI1" s="391"/>
      <c r="AJ1" s="391"/>
      <c r="AK1" s="392"/>
      <c r="AL1" s="2"/>
      <c r="AM1" s="2"/>
      <c r="AN1" s="2"/>
      <c r="AO1" s="2"/>
      <c r="AP1" s="2"/>
      <c r="AQ1" s="2"/>
      <c r="AR1" s="2"/>
      <c r="AS1" s="2"/>
      <c r="AT1" s="2"/>
    </row>
    <row r="2" spans="1:46" ht="18" customHeight="1" thickBot="1">
      <c r="A2" s="1577" t="s">
        <v>559</v>
      </c>
      <c r="B2" s="1578"/>
      <c r="C2" s="1579"/>
      <c r="D2" s="1577" t="str">
        <f>"Proposed Units for "&amp;Overview!S35&amp; " Project"</f>
        <v>Proposed Units for  Project</v>
      </c>
      <c r="E2" s="1578"/>
      <c r="F2" s="1578"/>
      <c r="G2" s="1578"/>
      <c r="H2" s="1578"/>
      <c r="I2" s="1578"/>
      <c r="J2" s="1578"/>
      <c r="K2" s="1578"/>
      <c r="L2" s="1578"/>
      <c r="M2" s="1578"/>
      <c r="N2" s="1578"/>
      <c r="O2" s="1578"/>
      <c r="P2" s="1578"/>
      <c r="Q2" s="1578"/>
      <c r="R2" s="1578"/>
      <c r="S2" s="1578"/>
      <c r="T2" s="1578"/>
      <c r="U2" s="1579"/>
      <c r="V2" s="377">
        <f>CoverPage!B11</f>
        <v>44471</v>
      </c>
      <c r="W2" s="378"/>
      <c r="X2" s="280"/>
      <c r="Y2" s="280"/>
      <c r="Z2" s="280"/>
      <c r="AA2" s="280"/>
      <c r="AB2" s="280"/>
      <c r="AC2" s="527"/>
      <c r="AD2" s="527"/>
      <c r="AE2" s="527"/>
      <c r="AF2" s="527"/>
      <c r="AG2" s="527"/>
      <c r="AH2" s="527"/>
      <c r="AI2" s="527"/>
      <c r="AJ2" s="527"/>
      <c r="AK2" s="528"/>
      <c r="AL2" s="2"/>
      <c r="AM2" s="2"/>
      <c r="AN2" s="2"/>
      <c r="AO2" s="2"/>
      <c r="AP2" s="2"/>
      <c r="AQ2" s="2"/>
      <c r="AR2" s="2"/>
      <c r="AS2" s="2"/>
      <c r="AT2" s="2"/>
    </row>
    <row r="3" spans="1:46" ht="15" customHeight="1" thickBot="1">
      <c r="A3" s="513"/>
      <c r="B3" s="514"/>
      <c r="C3" s="515"/>
      <c r="D3" s="1596" t="str">
        <f>IF(Overview!E31="","",Overview!E31)</f>
        <v/>
      </c>
      <c r="E3" s="1597"/>
      <c r="F3" s="1597"/>
      <c r="G3" s="1597"/>
      <c r="H3" s="1597"/>
      <c r="I3" s="1614" t="s">
        <v>560</v>
      </c>
      <c r="J3" s="1615"/>
      <c r="K3" s="1616"/>
      <c r="L3" s="529"/>
      <c r="M3" s="1604" t="s">
        <v>561</v>
      </c>
      <c r="N3" s="1605"/>
      <c r="O3" s="1606" t="s">
        <v>562</v>
      </c>
      <c r="P3" s="1605"/>
      <c r="Q3" s="1598" t="s">
        <v>563</v>
      </c>
      <c r="R3" s="1599"/>
      <c r="S3" s="1599"/>
      <c r="T3" s="1599"/>
      <c r="U3" s="1600"/>
      <c r="V3" s="1607" t="str">
        <f>IF(C25&gt;=X25,"Maximum Capital Award (Baseline and Additional Contribution) Based on "&amp;A2,"Maximum Capital Award (Baseline and Additional Contribution) Based on "&amp;D2)</f>
        <v>Maximum Capital Award (Baseline and Additional Contribution) Based on Doors at Acquisition</v>
      </c>
      <c r="W3" s="1608"/>
      <c r="X3" s="1608"/>
      <c r="Y3" s="1608"/>
      <c r="Z3" s="1608"/>
      <c r="AA3" s="1608"/>
      <c r="AB3" s="1608"/>
      <c r="AC3" s="1608"/>
      <c r="AD3" s="1608"/>
      <c r="AE3" s="1608"/>
      <c r="AF3" s="1608"/>
      <c r="AG3" s="1608"/>
      <c r="AH3" s="1608"/>
      <c r="AI3" s="1608"/>
      <c r="AJ3" s="1608"/>
      <c r="AK3" s="1609"/>
      <c r="AL3" s="2"/>
      <c r="AM3" s="2"/>
      <c r="AN3" s="2"/>
      <c r="AO3" s="2"/>
      <c r="AP3" s="2"/>
      <c r="AQ3" s="1603"/>
      <c r="AR3" s="1603"/>
      <c r="AS3" s="2"/>
      <c r="AT3" s="2"/>
    </row>
    <row r="4" spans="1:46" ht="90.75" customHeight="1">
      <c r="A4" s="307" t="s">
        <v>564</v>
      </c>
      <c r="B4" s="308" t="s">
        <v>45</v>
      </c>
      <c r="C4" s="309" t="s">
        <v>565</v>
      </c>
      <c r="D4" s="307" t="s">
        <v>564</v>
      </c>
      <c r="E4" s="308" t="s">
        <v>566</v>
      </c>
      <c r="F4" s="530" t="s">
        <v>567</v>
      </c>
      <c r="G4" s="308" t="s">
        <v>568</v>
      </c>
      <c r="H4" s="320" t="s">
        <v>569</v>
      </c>
      <c r="I4" s="435" t="s">
        <v>570</v>
      </c>
      <c r="J4" s="434" t="s">
        <v>571</v>
      </c>
      <c r="K4" s="433" t="s">
        <v>572</v>
      </c>
      <c r="L4" s="411" t="s">
        <v>573</v>
      </c>
      <c r="M4" s="403" t="s">
        <v>574</v>
      </c>
      <c r="N4" s="408" t="s">
        <v>575</v>
      </c>
      <c r="O4" s="405" t="s">
        <v>574</v>
      </c>
      <c r="P4" s="408" t="s">
        <v>575</v>
      </c>
      <c r="Q4" s="390" t="s">
        <v>576</v>
      </c>
      <c r="R4" s="315" t="s">
        <v>577</v>
      </c>
      <c r="S4" s="315" t="s">
        <v>578</v>
      </c>
      <c r="T4" s="315" t="s">
        <v>579</v>
      </c>
      <c r="U4" s="314" t="s">
        <v>580</v>
      </c>
      <c r="V4" s="400" t="s">
        <v>581</v>
      </c>
      <c r="W4" s="401" t="s">
        <v>582</v>
      </c>
      <c r="X4" s="312" t="s">
        <v>583</v>
      </c>
      <c r="Y4" s="313" t="s">
        <v>584</v>
      </c>
      <c r="Z4" s="311" t="s">
        <v>585</v>
      </c>
      <c r="AA4" s="310" t="s">
        <v>586</v>
      </c>
      <c r="AB4" s="313" t="s">
        <v>587</v>
      </c>
      <c r="AC4" s="314" t="s">
        <v>588</v>
      </c>
      <c r="AD4" s="531" t="s">
        <v>589</v>
      </c>
      <c r="AE4" s="313" t="s">
        <v>590</v>
      </c>
      <c r="AF4" s="315" t="s">
        <v>591</v>
      </c>
      <c r="AG4" s="315" t="s">
        <v>592</v>
      </c>
      <c r="AH4" s="312" t="s">
        <v>593</v>
      </c>
      <c r="AI4" s="402" t="str">
        <f>IF($C$25&gt;$X$25,"Maximum Match (Doors at Acquisition x Per Unit Amount)","Maximum Match (Proposed Assisted Units x Per Unit Amount)")</f>
        <v>Maximum Match (Proposed Assisted Units x Per Unit Amount)</v>
      </c>
      <c r="AJ4" s="312" t="s">
        <v>594</v>
      </c>
      <c r="AK4" s="322" t="s">
        <v>595</v>
      </c>
      <c r="AL4" s="327" t="s">
        <v>596</v>
      </c>
      <c r="AM4" s="316" t="s">
        <v>597</v>
      </c>
      <c r="AN4" s="317" t="s">
        <v>598</v>
      </c>
      <c r="AO4" s="317" t="s">
        <v>599</v>
      </c>
      <c r="AP4" s="317" t="s">
        <v>600</v>
      </c>
      <c r="AQ4" s="318" t="str">
        <f>"Mo. Subsidy Revenue "&amp;M3</f>
        <v>Mo. Subsidy Revenue Subsidy Program #1 Name</v>
      </c>
      <c r="AR4" s="318" t="str">
        <f>"Mo. Subsidy Revenue "&amp;O3</f>
        <v>Mo. Subsidy Revenue Subsidy Program #2 Name</v>
      </c>
      <c r="AS4" s="319" t="s">
        <v>601</v>
      </c>
      <c r="AT4" s="2"/>
    </row>
    <row r="5" spans="1:46" s="279" customFormat="1">
      <c r="A5" s="46"/>
      <c r="B5" s="277"/>
      <c r="C5" s="305">
        <f>B5*IF(A5="",0,IF(OR(A5=0,A5=1),150000,IF(A5=2,175000,IF(A5&gt;=3,200000,0))))</f>
        <v>0</v>
      </c>
      <c r="D5" s="46"/>
      <c r="E5" s="277"/>
      <c r="F5" s="532"/>
      <c r="G5" s="276"/>
      <c r="H5" s="321"/>
      <c r="I5" s="436">
        <f>IF(OR(Overview!$S$35="Interim Housing in Perpetuity",Overview!$S$35="Interim Housing with Plan to Convert to Permanent"),0,IFERROR(INDEX('Rent Limits'!$A$1:$O$1045,MATCH(AS5,'Rent Limits'!$A$1:$A$1045,0),MATCH(D5,'Rent Limits'!$A$1:$O$1,0)),0))</f>
        <v>0</v>
      </c>
      <c r="J5" s="437"/>
      <c r="K5" s="438"/>
      <c r="L5" s="442"/>
      <c r="M5" s="406"/>
      <c r="N5" s="438"/>
      <c r="O5" s="409"/>
      <c r="P5" s="438"/>
      <c r="Q5" s="384"/>
      <c r="R5" s="533"/>
      <c r="S5" s="533"/>
      <c r="T5" s="533"/>
      <c r="U5" s="385">
        <f t="shared" ref="U5:U24" si="0">IF(AND(G5&lt;=0.3,G5&lt;&gt;"None",G5&lt;&gt;""),SUM(Q5:T5),0)</f>
        <v>0</v>
      </c>
      <c r="V5" s="288">
        <f>IF(OR(G5&gt;0.3,G5="none",G5="",D5&gt;=3),0,(R5*200000)+(T5*175000))</f>
        <v>0</v>
      </c>
      <c r="W5" s="323">
        <f>IF(OR(G5&gt;0.3,G5="None",G5=""),0,IF(D5&gt;=3,200000*U5,(U5-R5-T5)*IF(D5="",0,IF(OR(D5=0,D5=1),150000,IF(D5=2,175000)))))</f>
        <v>0</v>
      </c>
      <c r="X5" s="289">
        <f>V5+W5</f>
        <v>0</v>
      </c>
      <c r="Y5" s="534">
        <f t="shared" ref="Y5:Y24" si="1">E5*F5</f>
        <v>0</v>
      </c>
      <c r="Z5" s="324">
        <f>IFERROR(Y5/$Y$25,0)</f>
        <v>0</v>
      </c>
      <c r="AA5" s="288">
        <f>IFERROR($AA$26*Z5,0)</f>
        <v>0</v>
      </c>
      <c r="AB5" s="289">
        <f>AA5-AC5</f>
        <v>0</v>
      </c>
      <c r="AC5" s="290">
        <f t="shared" ref="AC5:AC24" si="2">IFERROR(U5/E5*AA5,0)</f>
        <v>0</v>
      </c>
      <c r="AD5" s="535">
        <f t="shared" ref="AD5:AD24" si="3">IF($C$25&gt;$X$25,MIN(C5,AC5),MIN(X5,AC5))</f>
        <v>0</v>
      </c>
      <c r="AE5" s="289">
        <f>AC5-AD5</f>
        <v>0</v>
      </c>
      <c r="AF5" s="289">
        <f t="shared" ref="AF5:AF24" si="4">IFERROR(IF($C$25&gt;$X$25,AE5/B5,AE5/U5),0)</f>
        <v>0</v>
      </c>
      <c r="AG5" s="289">
        <f>MIN(AF5/2,100000)</f>
        <v>0</v>
      </c>
      <c r="AH5" s="286">
        <f t="shared" ref="AH5:AH24" si="5">AG5</f>
        <v>0</v>
      </c>
      <c r="AI5" s="289">
        <f t="shared" ref="AI5:AI24" si="6">IF($C$25&gt;$X$25,AG5*B5,AG5*U5)</f>
        <v>0</v>
      </c>
      <c r="AJ5" s="286">
        <f>AI5</f>
        <v>0</v>
      </c>
      <c r="AK5" s="325">
        <f t="shared" ref="AK5:AK24" si="7">AD5+AJ5</f>
        <v>0</v>
      </c>
      <c r="AL5" s="536">
        <f t="shared" ref="AL5:AL24" si="8">IF(OR(G5="",G5="none"),0,E5)</f>
        <v>0</v>
      </c>
      <c r="AM5" s="291">
        <f t="shared" ref="AM5:AM24" si="9">IF(OR(G5="",G5="none"),E5,0)</f>
        <v>0</v>
      </c>
      <c r="AN5" s="292">
        <f t="shared" ref="AN5:AN24" si="10">(I5-L5)*AL5</f>
        <v>0</v>
      </c>
      <c r="AO5" s="292">
        <f t="shared" ref="AO5:AO24" si="11">(J5-L5)*AL5</f>
        <v>0</v>
      </c>
      <c r="AP5" s="292">
        <f t="shared" ref="AP5:AP24" si="12">K5*AM5</f>
        <v>0</v>
      </c>
      <c r="AQ5" s="292">
        <f t="shared" ref="AQ5:AQ24" si="13">N5*M5</f>
        <v>0</v>
      </c>
      <c r="AR5" s="292">
        <f t="shared" ref="AR5:AR24" si="14">P5*O5</f>
        <v>0</v>
      </c>
      <c r="AS5" s="293" t="str">
        <f t="shared" ref="AS5:AS24" si="15">CONCATENATE($D$3,G5)</f>
        <v/>
      </c>
      <c r="AT5" s="537"/>
    </row>
    <row r="6" spans="1:46" s="279" customFormat="1">
      <c r="A6" s="46"/>
      <c r="B6" s="278"/>
      <c r="C6" s="305">
        <f t="shared" ref="C6:C24" si="16">B6*IF(A6="",0,IF(OR(A6=0,A6=1),150000,IF(A6=2,175000,IF(A6&gt;=3,200000,0))))</f>
        <v>0</v>
      </c>
      <c r="D6" s="46"/>
      <c r="E6" s="277"/>
      <c r="F6" s="532"/>
      <c r="G6" s="276"/>
      <c r="H6" s="321"/>
      <c r="I6" s="436">
        <f>IF(OR(Overview!$S$35="Interim Housing in Perpetuity",Overview!$S$35="Interim Housing with Plan to Convert to Permanent"),0,IFERROR(INDEX('Rent Limits'!$A$1:$O$1045,MATCH(AS6,'Rent Limits'!$A$1:$A$1045,0),MATCH(D6,'Rent Limits'!$A$1:$O$1,0)),0))</f>
        <v>0</v>
      </c>
      <c r="J6" s="437"/>
      <c r="K6" s="438"/>
      <c r="L6" s="442"/>
      <c r="M6" s="406"/>
      <c r="N6" s="438"/>
      <c r="O6" s="409"/>
      <c r="P6" s="438"/>
      <c r="Q6" s="384"/>
      <c r="R6" s="533"/>
      <c r="S6" s="533"/>
      <c r="T6" s="533"/>
      <c r="U6" s="385">
        <f t="shared" si="0"/>
        <v>0</v>
      </c>
      <c r="V6" s="288">
        <f t="shared" ref="V6:V24" si="17">IF(OR(G6&gt;0.3,G6="none",G6="",D6&gt;=3),0,(R6*200000)+(T6*175000))</f>
        <v>0</v>
      </c>
      <c r="W6" s="323">
        <f t="shared" ref="W6:W24" si="18">IF(OR(G6&gt;0.3,G6="None",G6=""),0,IF(D6&gt;=3,200000*U6,(U6-R6-T6)*IF(D6="",0,IF(OR(D6=0,D6=1),150000,IF(D6=2,175000)))))</f>
        <v>0</v>
      </c>
      <c r="X6" s="289">
        <f t="shared" ref="X6:X24" si="19">V6+W6</f>
        <v>0</v>
      </c>
      <c r="Y6" s="534">
        <f t="shared" si="1"/>
        <v>0</v>
      </c>
      <c r="Z6" s="324">
        <f t="shared" ref="Z6:Z24" si="20">IFERROR(Y6/$Y$25,0)</f>
        <v>0</v>
      </c>
      <c r="AA6" s="288">
        <f t="shared" ref="AA6:AA24" si="21">IFERROR($AA$26*Z6,0)</f>
        <v>0</v>
      </c>
      <c r="AB6" s="289">
        <f t="shared" ref="AB6:AB24" si="22">AA6-AC6</f>
        <v>0</v>
      </c>
      <c r="AC6" s="290">
        <f t="shared" si="2"/>
        <v>0</v>
      </c>
      <c r="AD6" s="535">
        <f t="shared" si="3"/>
        <v>0</v>
      </c>
      <c r="AE6" s="289">
        <f t="shared" ref="AE6:AE24" si="23">AC6-AD6</f>
        <v>0</v>
      </c>
      <c r="AF6" s="289">
        <f t="shared" si="4"/>
        <v>0</v>
      </c>
      <c r="AG6" s="289">
        <f t="shared" ref="AG6:AG24" si="24">MIN(AF6/2,100000)</f>
        <v>0</v>
      </c>
      <c r="AH6" s="286">
        <f t="shared" si="5"/>
        <v>0</v>
      </c>
      <c r="AI6" s="289">
        <f t="shared" si="6"/>
        <v>0</v>
      </c>
      <c r="AJ6" s="286">
        <f t="shared" ref="AJ6:AJ24" si="25">AI6</f>
        <v>0</v>
      </c>
      <c r="AK6" s="325">
        <f t="shared" si="7"/>
        <v>0</v>
      </c>
      <c r="AL6" s="536">
        <f t="shared" si="8"/>
        <v>0</v>
      </c>
      <c r="AM6" s="291">
        <f t="shared" si="9"/>
        <v>0</v>
      </c>
      <c r="AN6" s="292">
        <f t="shared" si="10"/>
        <v>0</v>
      </c>
      <c r="AO6" s="292">
        <f t="shared" si="11"/>
        <v>0</v>
      </c>
      <c r="AP6" s="292">
        <f t="shared" si="12"/>
        <v>0</v>
      </c>
      <c r="AQ6" s="292">
        <f t="shared" si="13"/>
        <v>0</v>
      </c>
      <c r="AR6" s="292">
        <f t="shared" si="14"/>
        <v>0</v>
      </c>
      <c r="AS6" s="293" t="str">
        <f t="shared" si="15"/>
        <v/>
      </c>
      <c r="AT6" s="537"/>
    </row>
    <row r="7" spans="1:46" s="279" customFormat="1">
      <c r="A7" s="46"/>
      <c r="B7" s="278"/>
      <c r="C7" s="305">
        <f t="shared" si="16"/>
        <v>0</v>
      </c>
      <c r="D7" s="46"/>
      <c r="E7" s="277"/>
      <c r="F7" s="532"/>
      <c r="G7" s="276"/>
      <c r="H7" s="321"/>
      <c r="I7" s="436">
        <f>IF(OR(Overview!$S$35="Interim Housing in Perpetuity",Overview!$S$35="Interim Housing with Plan to Convert to Permanent"),0,IFERROR(INDEX('Rent Limits'!$A$1:$O$1045,MATCH(AS7,'Rent Limits'!$A$1:$A$1045,0),MATCH(D7,'Rent Limits'!$A$1:$O$1,0)),0))</f>
        <v>0</v>
      </c>
      <c r="J7" s="437"/>
      <c r="K7" s="438"/>
      <c r="L7" s="442"/>
      <c r="M7" s="406"/>
      <c r="N7" s="438"/>
      <c r="O7" s="409"/>
      <c r="P7" s="438"/>
      <c r="Q7" s="384"/>
      <c r="R7" s="533"/>
      <c r="S7" s="533"/>
      <c r="T7" s="533"/>
      <c r="U7" s="385">
        <f t="shared" si="0"/>
        <v>0</v>
      </c>
      <c r="V7" s="288">
        <f t="shared" si="17"/>
        <v>0</v>
      </c>
      <c r="W7" s="323">
        <f t="shared" si="18"/>
        <v>0</v>
      </c>
      <c r="X7" s="289">
        <f t="shared" si="19"/>
        <v>0</v>
      </c>
      <c r="Y7" s="534">
        <f t="shared" si="1"/>
        <v>0</v>
      </c>
      <c r="Z7" s="324">
        <f t="shared" si="20"/>
        <v>0</v>
      </c>
      <c r="AA7" s="288">
        <f t="shared" si="21"/>
        <v>0</v>
      </c>
      <c r="AB7" s="289">
        <f t="shared" si="22"/>
        <v>0</v>
      </c>
      <c r="AC7" s="290">
        <f t="shared" si="2"/>
        <v>0</v>
      </c>
      <c r="AD7" s="535">
        <f t="shared" si="3"/>
        <v>0</v>
      </c>
      <c r="AE7" s="289">
        <f t="shared" si="23"/>
        <v>0</v>
      </c>
      <c r="AF7" s="289">
        <f t="shared" si="4"/>
        <v>0</v>
      </c>
      <c r="AG7" s="289">
        <f t="shared" si="24"/>
        <v>0</v>
      </c>
      <c r="AH7" s="286">
        <f t="shared" si="5"/>
        <v>0</v>
      </c>
      <c r="AI7" s="289">
        <f t="shared" si="6"/>
        <v>0</v>
      </c>
      <c r="AJ7" s="286">
        <f t="shared" si="25"/>
        <v>0</v>
      </c>
      <c r="AK7" s="325">
        <f t="shared" si="7"/>
        <v>0</v>
      </c>
      <c r="AL7" s="536">
        <f t="shared" si="8"/>
        <v>0</v>
      </c>
      <c r="AM7" s="291">
        <f t="shared" si="9"/>
        <v>0</v>
      </c>
      <c r="AN7" s="292">
        <f t="shared" si="10"/>
        <v>0</v>
      </c>
      <c r="AO7" s="292">
        <f t="shared" si="11"/>
        <v>0</v>
      </c>
      <c r="AP7" s="292">
        <f t="shared" si="12"/>
        <v>0</v>
      </c>
      <c r="AQ7" s="292">
        <f t="shared" si="13"/>
        <v>0</v>
      </c>
      <c r="AR7" s="292">
        <f t="shared" si="14"/>
        <v>0</v>
      </c>
      <c r="AS7" s="293" t="str">
        <f t="shared" si="15"/>
        <v/>
      </c>
      <c r="AT7" s="537"/>
    </row>
    <row r="8" spans="1:46" s="279" customFormat="1">
      <c r="A8" s="46"/>
      <c r="B8" s="278"/>
      <c r="C8" s="305">
        <f t="shared" si="16"/>
        <v>0</v>
      </c>
      <c r="D8" s="46"/>
      <c r="E8" s="277"/>
      <c r="F8" s="532"/>
      <c r="G8" s="276"/>
      <c r="H8" s="321"/>
      <c r="I8" s="436">
        <f>IF(OR(Overview!$S$35="Interim Housing in Perpetuity",Overview!$S$35="Interim Housing with Plan to Convert to Permanent"),0,IFERROR(INDEX('Rent Limits'!$A$1:$O$1045,MATCH(AS8,'Rent Limits'!$A$1:$A$1045,0),MATCH(D8,'Rent Limits'!$A$1:$O$1,0)),0))</f>
        <v>0</v>
      </c>
      <c r="J8" s="437"/>
      <c r="K8" s="438"/>
      <c r="L8" s="442"/>
      <c r="M8" s="406"/>
      <c r="N8" s="438"/>
      <c r="O8" s="409"/>
      <c r="P8" s="438"/>
      <c r="Q8" s="384"/>
      <c r="R8" s="533"/>
      <c r="S8" s="533"/>
      <c r="T8" s="533"/>
      <c r="U8" s="385">
        <f t="shared" si="0"/>
        <v>0</v>
      </c>
      <c r="V8" s="288">
        <f t="shared" si="17"/>
        <v>0</v>
      </c>
      <c r="W8" s="323">
        <f t="shared" si="18"/>
        <v>0</v>
      </c>
      <c r="X8" s="289">
        <f t="shared" si="19"/>
        <v>0</v>
      </c>
      <c r="Y8" s="534">
        <f t="shared" si="1"/>
        <v>0</v>
      </c>
      <c r="Z8" s="324">
        <f t="shared" si="20"/>
        <v>0</v>
      </c>
      <c r="AA8" s="288">
        <f t="shared" si="21"/>
        <v>0</v>
      </c>
      <c r="AB8" s="289">
        <f t="shared" si="22"/>
        <v>0</v>
      </c>
      <c r="AC8" s="290">
        <f t="shared" si="2"/>
        <v>0</v>
      </c>
      <c r="AD8" s="535">
        <f t="shared" si="3"/>
        <v>0</v>
      </c>
      <c r="AE8" s="289">
        <f t="shared" si="23"/>
        <v>0</v>
      </c>
      <c r="AF8" s="289">
        <f t="shared" si="4"/>
        <v>0</v>
      </c>
      <c r="AG8" s="289">
        <f t="shared" si="24"/>
        <v>0</v>
      </c>
      <c r="AH8" s="286">
        <f t="shared" si="5"/>
        <v>0</v>
      </c>
      <c r="AI8" s="289">
        <f t="shared" si="6"/>
        <v>0</v>
      </c>
      <c r="AJ8" s="286">
        <f t="shared" si="25"/>
        <v>0</v>
      </c>
      <c r="AK8" s="325">
        <f t="shared" si="7"/>
        <v>0</v>
      </c>
      <c r="AL8" s="536">
        <f t="shared" si="8"/>
        <v>0</v>
      </c>
      <c r="AM8" s="291">
        <f t="shared" si="9"/>
        <v>0</v>
      </c>
      <c r="AN8" s="292">
        <f t="shared" si="10"/>
        <v>0</v>
      </c>
      <c r="AO8" s="292">
        <f t="shared" si="11"/>
        <v>0</v>
      </c>
      <c r="AP8" s="292">
        <f t="shared" si="12"/>
        <v>0</v>
      </c>
      <c r="AQ8" s="292">
        <f t="shared" si="13"/>
        <v>0</v>
      </c>
      <c r="AR8" s="292">
        <f t="shared" si="14"/>
        <v>0</v>
      </c>
      <c r="AS8" s="293" t="str">
        <f t="shared" si="15"/>
        <v/>
      </c>
      <c r="AT8" s="537"/>
    </row>
    <row r="9" spans="1:46" s="279" customFormat="1">
      <c r="A9" s="46"/>
      <c r="B9" s="278"/>
      <c r="C9" s="305">
        <f t="shared" si="16"/>
        <v>0</v>
      </c>
      <c r="D9" s="46"/>
      <c r="E9" s="277"/>
      <c r="F9" s="532"/>
      <c r="G9" s="276"/>
      <c r="H9" s="321"/>
      <c r="I9" s="436">
        <f>IF(OR(Overview!$S$35="Interim Housing in Perpetuity",Overview!$S$35="Interim Housing with Plan to Convert to Permanent"),0,IFERROR(INDEX('Rent Limits'!$A$1:$O$1045,MATCH(AS9,'Rent Limits'!$A$1:$A$1045,0),MATCH(D9,'Rent Limits'!$A$1:$O$1,0)),0))</f>
        <v>0</v>
      </c>
      <c r="J9" s="437"/>
      <c r="K9" s="438"/>
      <c r="L9" s="442"/>
      <c r="M9" s="406"/>
      <c r="N9" s="438"/>
      <c r="O9" s="409"/>
      <c r="P9" s="438"/>
      <c r="Q9" s="384"/>
      <c r="R9" s="533"/>
      <c r="S9" s="533"/>
      <c r="T9" s="533"/>
      <c r="U9" s="385">
        <f t="shared" si="0"/>
        <v>0</v>
      </c>
      <c r="V9" s="288">
        <f t="shared" si="17"/>
        <v>0</v>
      </c>
      <c r="W9" s="323">
        <f t="shared" si="18"/>
        <v>0</v>
      </c>
      <c r="X9" s="289">
        <f t="shared" si="19"/>
        <v>0</v>
      </c>
      <c r="Y9" s="534">
        <f t="shared" si="1"/>
        <v>0</v>
      </c>
      <c r="Z9" s="324">
        <f t="shared" si="20"/>
        <v>0</v>
      </c>
      <c r="AA9" s="288">
        <f t="shared" si="21"/>
        <v>0</v>
      </c>
      <c r="AB9" s="289">
        <f t="shared" si="22"/>
        <v>0</v>
      </c>
      <c r="AC9" s="290">
        <f t="shared" si="2"/>
        <v>0</v>
      </c>
      <c r="AD9" s="535">
        <f t="shared" si="3"/>
        <v>0</v>
      </c>
      <c r="AE9" s="289">
        <f t="shared" si="23"/>
        <v>0</v>
      </c>
      <c r="AF9" s="289">
        <f t="shared" si="4"/>
        <v>0</v>
      </c>
      <c r="AG9" s="289">
        <f t="shared" si="24"/>
        <v>0</v>
      </c>
      <c r="AH9" s="286">
        <f t="shared" si="5"/>
        <v>0</v>
      </c>
      <c r="AI9" s="289">
        <f t="shared" si="6"/>
        <v>0</v>
      </c>
      <c r="AJ9" s="286">
        <f t="shared" si="25"/>
        <v>0</v>
      </c>
      <c r="AK9" s="325">
        <f t="shared" si="7"/>
        <v>0</v>
      </c>
      <c r="AL9" s="536">
        <f t="shared" si="8"/>
        <v>0</v>
      </c>
      <c r="AM9" s="291">
        <f t="shared" si="9"/>
        <v>0</v>
      </c>
      <c r="AN9" s="292">
        <f t="shared" si="10"/>
        <v>0</v>
      </c>
      <c r="AO9" s="292">
        <f t="shared" si="11"/>
        <v>0</v>
      </c>
      <c r="AP9" s="292">
        <f t="shared" si="12"/>
        <v>0</v>
      </c>
      <c r="AQ9" s="292">
        <f t="shared" si="13"/>
        <v>0</v>
      </c>
      <c r="AR9" s="292">
        <f t="shared" si="14"/>
        <v>0</v>
      </c>
      <c r="AS9" s="293" t="str">
        <f t="shared" si="15"/>
        <v/>
      </c>
      <c r="AT9" s="537"/>
    </row>
    <row r="10" spans="1:46" s="279" customFormat="1">
      <c r="A10" s="46"/>
      <c r="B10" s="278"/>
      <c r="C10" s="305">
        <f t="shared" si="16"/>
        <v>0</v>
      </c>
      <c r="D10" s="46"/>
      <c r="E10" s="277"/>
      <c r="F10" s="532"/>
      <c r="G10" s="276"/>
      <c r="H10" s="321"/>
      <c r="I10" s="436">
        <f>IF(OR(Overview!$S$35="Interim Housing in Perpetuity",Overview!$S$35="Interim Housing with Plan to Convert to Permanent"),0,IFERROR(INDEX('Rent Limits'!$A$1:$O$1045,MATCH(AS10,'Rent Limits'!$A$1:$A$1045,0),MATCH(D10,'Rent Limits'!$A$1:$O$1,0)),0))</f>
        <v>0</v>
      </c>
      <c r="J10" s="437"/>
      <c r="K10" s="438"/>
      <c r="L10" s="442"/>
      <c r="M10" s="406"/>
      <c r="N10" s="438"/>
      <c r="O10" s="409"/>
      <c r="P10" s="438"/>
      <c r="Q10" s="384"/>
      <c r="R10" s="533"/>
      <c r="S10" s="533"/>
      <c r="T10" s="533"/>
      <c r="U10" s="385">
        <f t="shared" si="0"/>
        <v>0</v>
      </c>
      <c r="V10" s="288">
        <f t="shared" si="17"/>
        <v>0</v>
      </c>
      <c r="W10" s="323">
        <f t="shared" si="18"/>
        <v>0</v>
      </c>
      <c r="X10" s="289">
        <f t="shared" si="19"/>
        <v>0</v>
      </c>
      <c r="Y10" s="534">
        <f t="shared" si="1"/>
        <v>0</v>
      </c>
      <c r="Z10" s="324">
        <f t="shared" si="20"/>
        <v>0</v>
      </c>
      <c r="AA10" s="288">
        <f t="shared" si="21"/>
        <v>0</v>
      </c>
      <c r="AB10" s="289">
        <f t="shared" si="22"/>
        <v>0</v>
      </c>
      <c r="AC10" s="290">
        <f t="shared" si="2"/>
        <v>0</v>
      </c>
      <c r="AD10" s="535">
        <f t="shared" si="3"/>
        <v>0</v>
      </c>
      <c r="AE10" s="289">
        <f t="shared" si="23"/>
        <v>0</v>
      </c>
      <c r="AF10" s="289">
        <f t="shared" si="4"/>
        <v>0</v>
      </c>
      <c r="AG10" s="289">
        <f t="shared" si="24"/>
        <v>0</v>
      </c>
      <c r="AH10" s="286">
        <f t="shared" si="5"/>
        <v>0</v>
      </c>
      <c r="AI10" s="289">
        <f t="shared" si="6"/>
        <v>0</v>
      </c>
      <c r="AJ10" s="286">
        <f t="shared" si="25"/>
        <v>0</v>
      </c>
      <c r="AK10" s="325">
        <f t="shared" si="7"/>
        <v>0</v>
      </c>
      <c r="AL10" s="536">
        <f t="shared" si="8"/>
        <v>0</v>
      </c>
      <c r="AM10" s="291">
        <f t="shared" si="9"/>
        <v>0</v>
      </c>
      <c r="AN10" s="292">
        <f t="shared" si="10"/>
        <v>0</v>
      </c>
      <c r="AO10" s="292">
        <f t="shared" si="11"/>
        <v>0</v>
      </c>
      <c r="AP10" s="292">
        <f t="shared" si="12"/>
        <v>0</v>
      </c>
      <c r="AQ10" s="292">
        <f t="shared" si="13"/>
        <v>0</v>
      </c>
      <c r="AR10" s="292">
        <f t="shared" si="14"/>
        <v>0</v>
      </c>
      <c r="AS10" s="293" t="str">
        <f t="shared" si="15"/>
        <v/>
      </c>
      <c r="AT10" s="537"/>
    </row>
    <row r="11" spans="1:46" s="279" customFormat="1">
      <c r="A11" s="46"/>
      <c r="B11" s="278"/>
      <c r="C11" s="305">
        <f t="shared" si="16"/>
        <v>0</v>
      </c>
      <c r="D11" s="46"/>
      <c r="E11" s="277"/>
      <c r="F11" s="532"/>
      <c r="G11" s="276"/>
      <c r="H11" s="321"/>
      <c r="I11" s="436">
        <f>IF(OR(Overview!$S$35="Interim Housing in Perpetuity",Overview!$S$35="Interim Housing with Plan to Convert to Permanent"),0,IFERROR(INDEX('Rent Limits'!$A$1:$O$1045,MATCH(AS11,'Rent Limits'!$A$1:$A$1045,0),MATCH(D11,'Rent Limits'!$A$1:$O$1,0)),0))</f>
        <v>0</v>
      </c>
      <c r="J11" s="437"/>
      <c r="K11" s="438"/>
      <c r="L11" s="442"/>
      <c r="M11" s="406"/>
      <c r="N11" s="438"/>
      <c r="O11" s="409"/>
      <c r="P11" s="438"/>
      <c r="Q11" s="384"/>
      <c r="R11" s="533"/>
      <c r="S11" s="533"/>
      <c r="T11" s="533"/>
      <c r="U11" s="385">
        <f t="shared" si="0"/>
        <v>0</v>
      </c>
      <c r="V11" s="288">
        <f t="shared" si="17"/>
        <v>0</v>
      </c>
      <c r="W11" s="323">
        <f t="shared" si="18"/>
        <v>0</v>
      </c>
      <c r="X11" s="289">
        <f t="shared" si="19"/>
        <v>0</v>
      </c>
      <c r="Y11" s="534">
        <f t="shared" si="1"/>
        <v>0</v>
      </c>
      <c r="Z11" s="324">
        <f t="shared" si="20"/>
        <v>0</v>
      </c>
      <c r="AA11" s="288">
        <f t="shared" si="21"/>
        <v>0</v>
      </c>
      <c r="AB11" s="289">
        <f t="shared" si="22"/>
        <v>0</v>
      </c>
      <c r="AC11" s="290">
        <f t="shared" si="2"/>
        <v>0</v>
      </c>
      <c r="AD11" s="535">
        <f t="shared" si="3"/>
        <v>0</v>
      </c>
      <c r="AE11" s="289">
        <f t="shared" si="23"/>
        <v>0</v>
      </c>
      <c r="AF11" s="289">
        <f t="shared" si="4"/>
        <v>0</v>
      </c>
      <c r="AG11" s="289">
        <f t="shared" si="24"/>
        <v>0</v>
      </c>
      <c r="AH11" s="286">
        <f t="shared" si="5"/>
        <v>0</v>
      </c>
      <c r="AI11" s="289">
        <f t="shared" si="6"/>
        <v>0</v>
      </c>
      <c r="AJ11" s="286">
        <f t="shared" si="25"/>
        <v>0</v>
      </c>
      <c r="AK11" s="325">
        <f t="shared" si="7"/>
        <v>0</v>
      </c>
      <c r="AL11" s="536">
        <f t="shared" si="8"/>
        <v>0</v>
      </c>
      <c r="AM11" s="291">
        <f t="shared" si="9"/>
        <v>0</v>
      </c>
      <c r="AN11" s="292">
        <f t="shared" si="10"/>
        <v>0</v>
      </c>
      <c r="AO11" s="292">
        <f t="shared" si="11"/>
        <v>0</v>
      </c>
      <c r="AP11" s="292">
        <f t="shared" si="12"/>
        <v>0</v>
      </c>
      <c r="AQ11" s="292">
        <f t="shared" si="13"/>
        <v>0</v>
      </c>
      <c r="AR11" s="292">
        <f t="shared" si="14"/>
        <v>0</v>
      </c>
      <c r="AS11" s="293" t="str">
        <f t="shared" si="15"/>
        <v/>
      </c>
      <c r="AT11" s="537"/>
    </row>
    <row r="12" spans="1:46" s="279" customFormat="1">
      <c r="A12" s="46"/>
      <c r="B12" s="278"/>
      <c r="C12" s="305">
        <f t="shared" si="16"/>
        <v>0</v>
      </c>
      <c r="D12" s="46"/>
      <c r="E12" s="277"/>
      <c r="F12" s="532"/>
      <c r="G12" s="276"/>
      <c r="H12" s="321"/>
      <c r="I12" s="436">
        <f>IF(OR(Overview!$S$35="Interim Housing in Perpetuity",Overview!$S$35="Interim Housing with Plan to Convert to Permanent"),0,IFERROR(INDEX('Rent Limits'!$A$1:$O$1045,MATCH(AS12,'Rent Limits'!$A$1:$A$1045,0),MATCH(D12,'Rent Limits'!$A$1:$O$1,0)),0))</f>
        <v>0</v>
      </c>
      <c r="J12" s="437"/>
      <c r="K12" s="438"/>
      <c r="L12" s="442"/>
      <c r="M12" s="406"/>
      <c r="N12" s="438"/>
      <c r="O12" s="409"/>
      <c r="P12" s="438"/>
      <c r="Q12" s="384"/>
      <c r="R12" s="533"/>
      <c r="S12" s="533"/>
      <c r="T12" s="533"/>
      <c r="U12" s="385">
        <f t="shared" si="0"/>
        <v>0</v>
      </c>
      <c r="V12" s="288">
        <f t="shared" si="17"/>
        <v>0</v>
      </c>
      <c r="W12" s="323">
        <f t="shared" si="18"/>
        <v>0</v>
      </c>
      <c r="X12" s="289">
        <f t="shared" si="19"/>
        <v>0</v>
      </c>
      <c r="Y12" s="534">
        <f t="shared" si="1"/>
        <v>0</v>
      </c>
      <c r="Z12" s="324">
        <f t="shared" si="20"/>
        <v>0</v>
      </c>
      <c r="AA12" s="288">
        <f t="shared" si="21"/>
        <v>0</v>
      </c>
      <c r="AB12" s="289">
        <f t="shared" si="22"/>
        <v>0</v>
      </c>
      <c r="AC12" s="290">
        <f t="shared" si="2"/>
        <v>0</v>
      </c>
      <c r="AD12" s="535">
        <f t="shared" si="3"/>
        <v>0</v>
      </c>
      <c r="AE12" s="289">
        <f t="shared" si="23"/>
        <v>0</v>
      </c>
      <c r="AF12" s="289">
        <f t="shared" si="4"/>
        <v>0</v>
      </c>
      <c r="AG12" s="289">
        <f t="shared" si="24"/>
        <v>0</v>
      </c>
      <c r="AH12" s="286">
        <f t="shared" si="5"/>
        <v>0</v>
      </c>
      <c r="AI12" s="289">
        <f t="shared" si="6"/>
        <v>0</v>
      </c>
      <c r="AJ12" s="286">
        <f t="shared" si="25"/>
        <v>0</v>
      </c>
      <c r="AK12" s="325">
        <f t="shared" si="7"/>
        <v>0</v>
      </c>
      <c r="AL12" s="536">
        <f t="shared" si="8"/>
        <v>0</v>
      </c>
      <c r="AM12" s="291">
        <f t="shared" si="9"/>
        <v>0</v>
      </c>
      <c r="AN12" s="292">
        <f t="shared" si="10"/>
        <v>0</v>
      </c>
      <c r="AO12" s="292">
        <f t="shared" si="11"/>
        <v>0</v>
      </c>
      <c r="AP12" s="292">
        <f t="shared" si="12"/>
        <v>0</v>
      </c>
      <c r="AQ12" s="292">
        <f t="shared" si="13"/>
        <v>0</v>
      </c>
      <c r="AR12" s="292">
        <f t="shared" si="14"/>
        <v>0</v>
      </c>
      <c r="AS12" s="293" t="str">
        <f t="shared" si="15"/>
        <v/>
      </c>
      <c r="AT12" s="537"/>
    </row>
    <row r="13" spans="1:46" s="279" customFormat="1">
      <c r="A13" s="46"/>
      <c r="B13" s="278"/>
      <c r="C13" s="305">
        <f t="shared" si="16"/>
        <v>0</v>
      </c>
      <c r="D13" s="46"/>
      <c r="E13" s="277"/>
      <c r="F13" s="532"/>
      <c r="G13" s="276"/>
      <c r="H13" s="321"/>
      <c r="I13" s="436">
        <f>IF(OR(Overview!$S$35="Interim Housing in Perpetuity",Overview!$S$35="Interim Housing with Plan to Convert to Permanent"),0,IFERROR(INDEX('Rent Limits'!$A$1:$O$1045,MATCH(AS13,'Rent Limits'!$A$1:$A$1045,0),MATCH(D13,'Rent Limits'!$A$1:$O$1,0)),0))</f>
        <v>0</v>
      </c>
      <c r="J13" s="437"/>
      <c r="K13" s="438"/>
      <c r="L13" s="442"/>
      <c r="M13" s="406"/>
      <c r="N13" s="438"/>
      <c r="O13" s="409"/>
      <c r="P13" s="438"/>
      <c r="Q13" s="384"/>
      <c r="R13" s="533"/>
      <c r="S13" s="533"/>
      <c r="T13" s="533"/>
      <c r="U13" s="385">
        <f t="shared" si="0"/>
        <v>0</v>
      </c>
      <c r="V13" s="288">
        <f t="shared" si="17"/>
        <v>0</v>
      </c>
      <c r="W13" s="323">
        <f t="shared" si="18"/>
        <v>0</v>
      </c>
      <c r="X13" s="289">
        <f t="shared" si="19"/>
        <v>0</v>
      </c>
      <c r="Y13" s="534">
        <f t="shared" si="1"/>
        <v>0</v>
      </c>
      <c r="Z13" s="324">
        <f t="shared" si="20"/>
        <v>0</v>
      </c>
      <c r="AA13" s="288">
        <f t="shared" si="21"/>
        <v>0</v>
      </c>
      <c r="AB13" s="289">
        <f t="shared" si="22"/>
        <v>0</v>
      </c>
      <c r="AC13" s="290">
        <f t="shared" si="2"/>
        <v>0</v>
      </c>
      <c r="AD13" s="535">
        <f t="shared" si="3"/>
        <v>0</v>
      </c>
      <c r="AE13" s="289">
        <f t="shared" si="23"/>
        <v>0</v>
      </c>
      <c r="AF13" s="289">
        <f t="shared" si="4"/>
        <v>0</v>
      </c>
      <c r="AG13" s="289">
        <f t="shared" si="24"/>
        <v>0</v>
      </c>
      <c r="AH13" s="286">
        <f t="shared" si="5"/>
        <v>0</v>
      </c>
      <c r="AI13" s="289">
        <f t="shared" si="6"/>
        <v>0</v>
      </c>
      <c r="AJ13" s="286">
        <f t="shared" si="25"/>
        <v>0</v>
      </c>
      <c r="AK13" s="325">
        <f t="shared" si="7"/>
        <v>0</v>
      </c>
      <c r="AL13" s="536">
        <f t="shared" si="8"/>
        <v>0</v>
      </c>
      <c r="AM13" s="291">
        <f t="shared" si="9"/>
        <v>0</v>
      </c>
      <c r="AN13" s="292">
        <f t="shared" si="10"/>
        <v>0</v>
      </c>
      <c r="AO13" s="292">
        <f t="shared" si="11"/>
        <v>0</v>
      </c>
      <c r="AP13" s="292">
        <f t="shared" si="12"/>
        <v>0</v>
      </c>
      <c r="AQ13" s="292">
        <f t="shared" si="13"/>
        <v>0</v>
      </c>
      <c r="AR13" s="292">
        <f t="shared" si="14"/>
        <v>0</v>
      </c>
      <c r="AS13" s="293" t="str">
        <f t="shared" si="15"/>
        <v/>
      </c>
      <c r="AT13" s="537"/>
    </row>
    <row r="14" spans="1:46" s="279" customFormat="1">
      <c r="A14" s="46"/>
      <c r="B14" s="278"/>
      <c r="C14" s="305">
        <f t="shared" si="16"/>
        <v>0</v>
      </c>
      <c r="D14" s="46"/>
      <c r="E14" s="277"/>
      <c r="F14" s="532"/>
      <c r="G14" s="276"/>
      <c r="H14" s="321"/>
      <c r="I14" s="436">
        <f>IF(OR(Overview!$S$35="Interim Housing in Perpetuity",Overview!$S$35="Interim Housing with Plan to Convert to Permanent"),0,IFERROR(INDEX('Rent Limits'!$A$1:$O$1045,MATCH(AS14,'Rent Limits'!$A$1:$A$1045,0),MATCH(D14,'Rent Limits'!$A$1:$O$1,0)),0))</f>
        <v>0</v>
      </c>
      <c r="J14" s="437"/>
      <c r="K14" s="438"/>
      <c r="L14" s="442"/>
      <c r="M14" s="406"/>
      <c r="N14" s="438"/>
      <c r="O14" s="409"/>
      <c r="P14" s="438"/>
      <c r="Q14" s="384"/>
      <c r="R14" s="533"/>
      <c r="S14" s="533"/>
      <c r="T14" s="533"/>
      <c r="U14" s="385">
        <f t="shared" si="0"/>
        <v>0</v>
      </c>
      <c r="V14" s="288">
        <f t="shared" si="17"/>
        <v>0</v>
      </c>
      <c r="W14" s="323">
        <f t="shared" si="18"/>
        <v>0</v>
      </c>
      <c r="X14" s="289">
        <f t="shared" si="19"/>
        <v>0</v>
      </c>
      <c r="Y14" s="534">
        <f t="shared" si="1"/>
        <v>0</v>
      </c>
      <c r="Z14" s="324">
        <f t="shared" si="20"/>
        <v>0</v>
      </c>
      <c r="AA14" s="288">
        <f t="shared" si="21"/>
        <v>0</v>
      </c>
      <c r="AB14" s="289">
        <f t="shared" si="22"/>
        <v>0</v>
      </c>
      <c r="AC14" s="290">
        <f t="shared" si="2"/>
        <v>0</v>
      </c>
      <c r="AD14" s="535">
        <f t="shared" si="3"/>
        <v>0</v>
      </c>
      <c r="AE14" s="289">
        <f t="shared" si="23"/>
        <v>0</v>
      </c>
      <c r="AF14" s="289">
        <f t="shared" si="4"/>
        <v>0</v>
      </c>
      <c r="AG14" s="289">
        <f t="shared" si="24"/>
        <v>0</v>
      </c>
      <c r="AH14" s="286">
        <f t="shared" si="5"/>
        <v>0</v>
      </c>
      <c r="AI14" s="289">
        <f t="shared" si="6"/>
        <v>0</v>
      </c>
      <c r="AJ14" s="286">
        <f t="shared" si="25"/>
        <v>0</v>
      </c>
      <c r="AK14" s="325">
        <f t="shared" si="7"/>
        <v>0</v>
      </c>
      <c r="AL14" s="536">
        <f t="shared" si="8"/>
        <v>0</v>
      </c>
      <c r="AM14" s="291">
        <f t="shared" si="9"/>
        <v>0</v>
      </c>
      <c r="AN14" s="292">
        <f t="shared" si="10"/>
        <v>0</v>
      </c>
      <c r="AO14" s="292">
        <f t="shared" si="11"/>
        <v>0</v>
      </c>
      <c r="AP14" s="292">
        <f t="shared" si="12"/>
        <v>0</v>
      </c>
      <c r="AQ14" s="292">
        <f t="shared" si="13"/>
        <v>0</v>
      </c>
      <c r="AR14" s="292">
        <f t="shared" si="14"/>
        <v>0</v>
      </c>
      <c r="AS14" s="293" t="str">
        <f t="shared" si="15"/>
        <v/>
      </c>
      <c r="AT14" s="537"/>
    </row>
    <row r="15" spans="1:46" s="279" customFormat="1" ht="12" customHeight="1">
      <c r="A15" s="46"/>
      <c r="B15" s="278"/>
      <c r="C15" s="305">
        <f t="shared" si="16"/>
        <v>0</v>
      </c>
      <c r="D15" s="46"/>
      <c r="E15" s="277"/>
      <c r="F15" s="532"/>
      <c r="G15" s="276"/>
      <c r="H15" s="321"/>
      <c r="I15" s="436">
        <f>IF(OR(Overview!$S$35="Interim Housing in Perpetuity",Overview!$S$35="Interim Housing with Plan to Convert to Permanent"),0,IFERROR(INDEX('Rent Limits'!$A$1:$O$1045,MATCH(AS15,'Rent Limits'!$A$1:$A$1045,0),MATCH(D15,'Rent Limits'!$A$1:$O$1,0)),0))</f>
        <v>0</v>
      </c>
      <c r="J15" s="437"/>
      <c r="K15" s="438"/>
      <c r="L15" s="442"/>
      <c r="M15" s="406"/>
      <c r="N15" s="438"/>
      <c r="O15" s="409"/>
      <c r="P15" s="438"/>
      <c r="Q15" s="384"/>
      <c r="R15" s="533"/>
      <c r="S15" s="533"/>
      <c r="T15" s="533"/>
      <c r="U15" s="385">
        <f t="shared" si="0"/>
        <v>0</v>
      </c>
      <c r="V15" s="288">
        <f t="shared" si="17"/>
        <v>0</v>
      </c>
      <c r="W15" s="323">
        <f t="shared" si="18"/>
        <v>0</v>
      </c>
      <c r="X15" s="289">
        <f t="shared" si="19"/>
        <v>0</v>
      </c>
      <c r="Y15" s="534">
        <f t="shared" si="1"/>
        <v>0</v>
      </c>
      <c r="Z15" s="324">
        <f t="shared" si="20"/>
        <v>0</v>
      </c>
      <c r="AA15" s="288">
        <f t="shared" si="21"/>
        <v>0</v>
      </c>
      <c r="AB15" s="289">
        <f t="shared" si="22"/>
        <v>0</v>
      </c>
      <c r="AC15" s="290">
        <f t="shared" si="2"/>
        <v>0</v>
      </c>
      <c r="AD15" s="535">
        <f t="shared" si="3"/>
        <v>0</v>
      </c>
      <c r="AE15" s="289">
        <f t="shared" si="23"/>
        <v>0</v>
      </c>
      <c r="AF15" s="289">
        <f t="shared" si="4"/>
        <v>0</v>
      </c>
      <c r="AG15" s="289">
        <f t="shared" si="24"/>
        <v>0</v>
      </c>
      <c r="AH15" s="286">
        <f t="shared" si="5"/>
        <v>0</v>
      </c>
      <c r="AI15" s="289">
        <f t="shared" si="6"/>
        <v>0</v>
      </c>
      <c r="AJ15" s="286">
        <f t="shared" si="25"/>
        <v>0</v>
      </c>
      <c r="AK15" s="325">
        <f t="shared" si="7"/>
        <v>0</v>
      </c>
      <c r="AL15" s="536">
        <f t="shared" si="8"/>
        <v>0</v>
      </c>
      <c r="AM15" s="291">
        <f t="shared" si="9"/>
        <v>0</v>
      </c>
      <c r="AN15" s="292">
        <f t="shared" si="10"/>
        <v>0</v>
      </c>
      <c r="AO15" s="292">
        <f t="shared" si="11"/>
        <v>0</v>
      </c>
      <c r="AP15" s="292">
        <f t="shared" si="12"/>
        <v>0</v>
      </c>
      <c r="AQ15" s="292">
        <f t="shared" si="13"/>
        <v>0</v>
      </c>
      <c r="AR15" s="292">
        <f t="shared" si="14"/>
        <v>0</v>
      </c>
      <c r="AS15" s="293" t="str">
        <f t="shared" si="15"/>
        <v/>
      </c>
      <c r="AT15" s="537"/>
    </row>
    <row r="16" spans="1:46" s="279" customFormat="1" ht="13.5" customHeight="1">
      <c r="A16" s="46"/>
      <c r="B16" s="278"/>
      <c r="C16" s="305">
        <f t="shared" si="16"/>
        <v>0</v>
      </c>
      <c r="D16" s="46"/>
      <c r="E16" s="277"/>
      <c r="F16" s="532"/>
      <c r="G16" s="276"/>
      <c r="H16" s="321"/>
      <c r="I16" s="436">
        <f>IF(OR(Overview!$S$35="Interim Housing in Perpetuity",Overview!$S$35="Interim Housing with Plan to Convert to Permanent"),0,IFERROR(INDEX('Rent Limits'!$A$1:$O$1045,MATCH(AS16,'Rent Limits'!$A$1:$A$1045,0),MATCH(D16,'Rent Limits'!$A$1:$O$1,0)),0))</f>
        <v>0</v>
      </c>
      <c r="J16" s="437"/>
      <c r="K16" s="438"/>
      <c r="L16" s="442"/>
      <c r="M16" s="406"/>
      <c r="N16" s="438"/>
      <c r="O16" s="409"/>
      <c r="P16" s="438"/>
      <c r="Q16" s="384"/>
      <c r="R16" s="533"/>
      <c r="S16" s="533"/>
      <c r="T16" s="533"/>
      <c r="U16" s="385">
        <f t="shared" si="0"/>
        <v>0</v>
      </c>
      <c r="V16" s="288">
        <f t="shared" si="17"/>
        <v>0</v>
      </c>
      <c r="W16" s="323">
        <f t="shared" si="18"/>
        <v>0</v>
      </c>
      <c r="X16" s="289">
        <f t="shared" si="19"/>
        <v>0</v>
      </c>
      <c r="Y16" s="534">
        <f t="shared" si="1"/>
        <v>0</v>
      </c>
      <c r="Z16" s="324">
        <f t="shared" si="20"/>
        <v>0</v>
      </c>
      <c r="AA16" s="288">
        <f t="shared" si="21"/>
        <v>0</v>
      </c>
      <c r="AB16" s="289">
        <f t="shared" si="22"/>
        <v>0</v>
      </c>
      <c r="AC16" s="290">
        <f t="shared" si="2"/>
        <v>0</v>
      </c>
      <c r="AD16" s="535">
        <f t="shared" si="3"/>
        <v>0</v>
      </c>
      <c r="AE16" s="289">
        <f t="shared" si="23"/>
        <v>0</v>
      </c>
      <c r="AF16" s="289">
        <f t="shared" si="4"/>
        <v>0</v>
      </c>
      <c r="AG16" s="289">
        <f t="shared" si="24"/>
        <v>0</v>
      </c>
      <c r="AH16" s="286">
        <f t="shared" si="5"/>
        <v>0</v>
      </c>
      <c r="AI16" s="289">
        <f t="shared" si="6"/>
        <v>0</v>
      </c>
      <c r="AJ16" s="286">
        <f t="shared" si="25"/>
        <v>0</v>
      </c>
      <c r="AK16" s="325">
        <f t="shared" si="7"/>
        <v>0</v>
      </c>
      <c r="AL16" s="536">
        <f t="shared" si="8"/>
        <v>0</v>
      </c>
      <c r="AM16" s="291">
        <f t="shared" si="9"/>
        <v>0</v>
      </c>
      <c r="AN16" s="292">
        <f t="shared" si="10"/>
        <v>0</v>
      </c>
      <c r="AO16" s="292">
        <f t="shared" si="11"/>
        <v>0</v>
      </c>
      <c r="AP16" s="292">
        <f t="shared" si="12"/>
        <v>0</v>
      </c>
      <c r="AQ16" s="292">
        <f t="shared" si="13"/>
        <v>0</v>
      </c>
      <c r="AR16" s="292">
        <f t="shared" si="14"/>
        <v>0</v>
      </c>
      <c r="AS16" s="293" t="str">
        <f t="shared" si="15"/>
        <v/>
      </c>
      <c r="AT16" s="537"/>
    </row>
    <row r="17" spans="1:45" s="279" customFormat="1">
      <c r="A17" s="46"/>
      <c r="B17" s="278"/>
      <c r="C17" s="305">
        <f t="shared" si="16"/>
        <v>0</v>
      </c>
      <c r="D17" s="46"/>
      <c r="E17" s="277"/>
      <c r="F17" s="532"/>
      <c r="G17" s="276"/>
      <c r="H17" s="321"/>
      <c r="I17" s="436">
        <f>IF(OR(Overview!$S$35="Interim Housing in Perpetuity",Overview!$S$35="Interim Housing with Plan to Convert to Permanent"),0,IFERROR(INDEX('Rent Limits'!$A$1:$O$1045,MATCH(AS17,'Rent Limits'!$A$1:$A$1045,0),MATCH(D17,'Rent Limits'!$A$1:$O$1,0)),0))</f>
        <v>0</v>
      </c>
      <c r="J17" s="437"/>
      <c r="K17" s="438"/>
      <c r="L17" s="442"/>
      <c r="M17" s="406"/>
      <c r="N17" s="438"/>
      <c r="O17" s="409"/>
      <c r="P17" s="438"/>
      <c r="Q17" s="384"/>
      <c r="R17" s="533"/>
      <c r="S17" s="533"/>
      <c r="T17" s="533"/>
      <c r="U17" s="385">
        <f t="shared" si="0"/>
        <v>0</v>
      </c>
      <c r="V17" s="288">
        <f t="shared" si="17"/>
        <v>0</v>
      </c>
      <c r="W17" s="323">
        <f t="shared" si="18"/>
        <v>0</v>
      </c>
      <c r="X17" s="289">
        <f t="shared" si="19"/>
        <v>0</v>
      </c>
      <c r="Y17" s="534">
        <f t="shared" si="1"/>
        <v>0</v>
      </c>
      <c r="Z17" s="324">
        <f t="shared" si="20"/>
        <v>0</v>
      </c>
      <c r="AA17" s="288">
        <f t="shared" si="21"/>
        <v>0</v>
      </c>
      <c r="AB17" s="289">
        <f t="shared" si="22"/>
        <v>0</v>
      </c>
      <c r="AC17" s="290">
        <f t="shared" si="2"/>
        <v>0</v>
      </c>
      <c r="AD17" s="535">
        <f t="shared" si="3"/>
        <v>0</v>
      </c>
      <c r="AE17" s="289">
        <f t="shared" si="23"/>
        <v>0</v>
      </c>
      <c r="AF17" s="289">
        <f t="shared" si="4"/>
        <v>0</v>
      </c>
      <c r="AG17" s="289">
        <f t="shared" si="24"/>
        <v>0</v>
      </c>
      <c r="AH17" s="286">
        <f t="shared" si="5"/>
        <v>0</v>
      </c>
      <c r="AI17" s="289">
        <f t="shared" si="6"/>
        <v>0</v>
      </c>
      <c r="AJ17" s="286">
        <f t="shared" si="25"/>
        <v>0</v>
      </c>
      <c r="AK17" s="325">
        <f t="shared" si="7"/>
        <v>0</v>
      </c>
      <c r="AL17" s="536">
        <f t="shared" si="8"/>
        <v>0</v>
      </c>
      <c r="AM17" s="291">
        <f t="shared" si="9"/>
        <v>0</v>
      </c>
      <c r="AN17" s="292">
        <f t="shared" si="10"/>
        <v>0</v>
      </c>
      <c r="AO17" s="292">
        <f t="shared" si="11"/>
        <v>0</v>
      </c>
      <c r="AP17" s="292">
        <f t="shared" si="12"/>
        <v>0</v>
      </c>
      <c r="AQ17" s="292">
        <f t="shared" si="13"/>
        <v>0</v>
      </c>
      <c r="AR17" s="292">
        <f t="shared" si="14"/>
        <v>0</v>
      </c>
      <c r="AS17" s="293" t="str">
        <f t="shared" si="15"/>
        <v/>
      </c>
    </row>
    <row r="18" spans="1:45" s="279" customFormat="1">
      <c r="A18" s="46"/>
      <c r="B18" s="278"/>
      <c r="C18" s="305">
        <f t="shared" si="16"/>
        <v>0</v>
      </c>
      <c r="D18" s="46"/>
      <c r="E18" s="277"/>
      <c r="F18" s="532"/>
      <c r="G18" s="276"/>
      <c r="H18" s="321"/>
      <c r="I18" s="436">
        <f>IF(OR(Overview!$S$35="Interim Housing in Perpetuity",Overview!$S$35="Interim Housing with Plan to Convert to Permanent"),0,IFERROR(INDEX('Rent Limits'!$A$1:$O$1045,MATCH(AS18,'Rent Limits'!$A$1:$A$1045,0),MATCH(D18,'Rent Limits'!$A$1:$O$1,0)),0))</f>
        <v>0</v>
      </c>
      <c r="J18" s="437"/>
      <c r="K18" s="438"/>
      <c r="L18" s="442"/>
      <c r="M18" s="406"/>
      <c r="N18" s="438"/>
      <c r="O18" s="409"/>
      <c r="P18" s="438"/>
      <c r="Q18" s="384"/>
      <c r="R18" s="533"/>
      <c r="S18" s="533"/>
      <c r="T18" s="533"/>
      <c r="U18" s="385">
        <f t="shared" si="0"/>
        <v>0</v>
      </c>
      <c r="V18" s="288">
        <f t="shared" si="17"/>
        <v>0</v>
      </c>
      <c r="W18" s="323">
        <f t="shared" si="18"/>
        <v>0</v>
      </c>
      <c r="X18" s="289">
        <f t="shared" si="19"/>
        <v>0</v>
      </c>
      <c r="Y18" s="534">
        <f t="shared" si="1"/>
        <v>0</v>
      </c>
      <c r="Z18" s="324">
        <f t="shared" si="20"/>
        <v>0</v>
      </c>
      <c r="AA18" s="288">
        <f t="shared" si="21"/>
        <v>0</v>
      </c>
      <c r="AB18" s="289">
        <f t="shared" si="22"/>
        <v>0</v>
      </c>
      <c r="AC18" s="290">
        <f t="shared" si="2"/>
        <v>0</v>
      </c>
      <c r="AD18" s="535">
        <f t="shared" si="3"/>
        <v>0</v>
      </c>
      <c r="AE18" s="289">
        <f t="shared" si="23"/>
        <v>0</v>
      </c>
      <c r="AF18" s="289">
        <f t="shared" si="4"/>
        <v>0</v>
      </c>
      <c r="AG18" s="289">
        <f t="shared" si="24"/>
        <v>0</v>
      </c>
      <c r="AH18" s="286">
        <f t="shared" si="5"/>
        <v>0</v>
      </c>
      <c r="AI18" s="289">
        <f t="shared" si="6"/>
        <v>0</v>
      </c>
      <c r="AJ18" s="286">
        <f t="shared" si="25"/>
        <v>0</v>
      </c>
      <c r="AK18" s="325">
        <f t="shared" si="7"/>
        <v>0</v>
      </c>
      <c r="AL18" s="536">
        <f t="shared" si="8"/>
        <v>0</v>
      </c>
      <c r="AM18" s="291">
        <f t="shared" si="9"/>
        <v>0</v>
      </c>
      <c r="AN18" s="292">
        <f t="shared" si="10"/>
        <v>0</v>
      </c>
      <c r="AO18" s="292">
        <f t="shared" si="11"/>
        <v>0</v>
      </c>
      <c r="AP18" s="292">
        <f t="shared" si="12"/>
        <v>0</v>
      </c>
      <c r="AQ18" s="292">
        <f t="shared" si="13"/>
        <v>0</v>
      </c>
      <c r="AR18" s="292">
        <f t="shared" si="14"/>
        <v>0</v>
      </c>
      <c r="AS18" s="293" t="str">
        <f t="shared" si="15"/>
        <v/>
      </c>
    </row>
    <row r="19" spans="1:45" s="279" customFormat="1">
      <c r="A19" s="46"/>
      <c r="B19" s="278"/>
      <c r="C19" s="305">
        <f t="shared" si="16"/>
        <v>0</v>
      </c>
      <c r="D19" s="46"/>
      <c r="E19" s="277"/>
      <c r="F19" s="532"/>
      <c r="G19" s="276"/>
      <c r="H19" s="321"/>
      <c r="I19" s="436">
        <f>IF(OR(Overview!$S$35="Interim Housing in Perpetuity",Overview!$S$35="Interim Housing with Plan to Convert to Permanent"),0,IFERROR(INDEX('Rent Limits'!$A$1:$O$1045,MATCH(AS19,'Rent Limits'!$A$1:$A$1045,0),MATCH(D19,'Rent Limits'!$A$1:$O$1,0)),0))</f>
        <v>0</v>
      </c>
      <c r="J19" s="437"/>
      <c r="K19" s="438"/>
      <c r="L19" s="442"/>
      <c r="M19" s="406"/>
      <c r="N19" s="438"/>
      <c r="O19" s="409"/>
      <c r="P19" s="438"/>
      <c r="Q19" s="384"/>
      <c r="R19" s="533"/>
      <c r="S19" s="533"/>
      <c r="T19" s="533"/>
      <c r="U19" s="385">
        <f t="shared" si="0"/>
        <v>0</v>
      </c>
      <c r="V19" s="288">
        <f t="shared" si="17"/>
        <v>0</v>
      </c>
      <c r="W19" s="323">
        <f t="shared" si="18"/>
        <v>0</v>
      </c>
      <c r="X19" s="289">
        <f t="shared" si="19"/>
        <v>0</v>
      </c>
      <c r="Y19" s="534">
        <f t="shared" si="1"/>
        <v>0</v>
      </c>
      <c r="Z19" s="324">
        <f t="shared" si="20"/>
        <v>0</v>
      </c>
      <c r="AA19" s="288">
        <f t="shared" si="21"/>
        <v>0</v>
      </c>
      <c r="AB19" s="289">
        <f t="shared" si="22"/>
        <v>0</v>
      </c>
      <c r="AC19" s="290">
        <f t="shared" si="2"/>
        <v>0</v>
      </c>
      <c r="AD19" s="535">
        <f t="shared" si="3"/>
        <v>0</v>
      </c>
      <c r="AE19" s="289">
        <f t="shared" si="23"/>
        <v>0</v>
      </c>
      <c r="AF19" s="289">
        <f t="shared" si="4"/>
        <v>0</v>
      </c>
      <c r="AG19" s="289">
        <f t="shared" si="24"/>
        <v>0</v>
      </c>
      <c r="AH19" s="286">
        <f t="shared" si="5"/>
        <v>0</v>
      </c>
      <c r="AI19" s="289">
        <f t="shared" si="6"/>
        <v>0</v>
      </c>
      <c r="AJ19" s="286">
        <f t="shared" si="25"/>
        <v>0</v>
      </c>
      <c r="AK19" s="325">
        <f t="shared" si="7"/>
        <v>0</v>
      </c>
      <c r="AL19" s="536">
        <f t="shared" si="8"/>
        <v>0</v>
      </c>
      <c r="AM19" s="291">
        <f t="shared" si="9"/>
        <v>0</v>
      </c>
      <c r="AN19" s="292">
        <f t="shared" si="10"/>
        <v>0</v>
      </c>
      <c r="AO19" s="292">
        <f t="shared" si="11"/>
        <v>0</v>
      </c>
      <c r="AP19" s="292">
        <f t="shared" si="12"/>
        <v>0</v>
      </c>
      <c r="AQ19" s="292">
        <f t="shared" si="13"/>
        <v>0</v>
      </c>
      <c r="AR19" s="292">
        <f t="shared" si="14"/>
        <v>0</v>
      </c>
      <c r="AS19" s="293" t="str">
        <f t="shared" si="15"/>
        <v/>
      </c>
    </row>
    <row r="20" spans="1:45" s="279" customFormat="1">
      <c r="A20" s="46"/>
      <c r="B20" s="278"/>
      <c r="C20" s="305">
        <f t="shared" si="16"/>
        <v>0</v>
      </c>
      <c r="D20" s="46"/>
      <c r="E20" s="277"/>
      <c r="F20" s="532"/>
      <c r="G20" s="276"/>
      <c r="H20" s="321"/>
      <c r="I20" s="436">
        <f>IF(OR(Overview!$S$35="Interim Housing in Perpetuity",Overview!$S$35="Interim Housing with Plan to Convert to Permanent"),0,IFERROR(INDEX('Rent Limits'!$A$1:$O$1045,MATCH(AS20,'Rent Limits'!$A$1:$A$1045,0),MATCH(D20,'Rent Limits'!$A$1:$O$1,0)),0))</f>
        <v>0</v>
      </c>
      <c r="J20" s="437"/>
      <c r="K20" s="438"/>
      <c r="L20" s="442"/>
      <c r="M20" s="406"/>
      <c r="N20" s="438"/>
      <c r="O20" s="409"/>
      <c r="P20" s="438"/>
      <c r="Q20" s="384"/>
      <c r="R20" s="533"/>
      <c r="S20" s="533"/>
      <c r="T20" s="533"/>
      <c r="U20" s="385">
        <f t="shared" si="0"/>
        <v>0</v>
      </c>
      <c r="V20" s="288">
        <f t="shared" si="17"/>
        <v>0</v>
      </c>
      <c r="W20" s="323">
        <f t="shared" si="18"/>
        <v>0</v>
      </c>
      <c r="X20" s="289">
        <f t="shared" si="19"/>
        <v>0</v>
      </c>
      <c r="Y20" s="534">
        <f t="shared" si="1"/>
        <v>0</v>
      </c>
      <c r="Z20" s="324">
        <f t="shared" si="20"/>
        <v>0</v>
      </c>
      <c r="AA20" s="288">
        <f t="shared" si="21"/>
        <v>0</v>
      </c>
      <c r="AB20" s="289">
        <f t="shared" si="22"/>
        <v>0</v>
      </c>
      <c r="AC20" s="290">
        <f t="shared" si="2"/>
        <v>0</v>
      </c>
      <c r="AD20" s="288">
        <f t="shared" si="3"/>
        <v>0</v>
      </c>
      <c r="AE20" s="289">
        <f t="shared" si="23"/>
        <v>0</v>
      </c>
      <c r="AF20" s="289">
        <f t="shared" si="4"/>
        <v>0</v>
      </c>
      <c r="AG20" s="289">
        <f t="shared" si="24"/>
        <v>0</v>
      </c>
      <c r="AH20" s="286">
        <f t="shared" si="5"/>
        <v>0</v>
      </c>
      <c r="AI20" s="289">
        <f t="shared" si="6"/>
        <v>0</v>
      </c>
      <c r="AJ20" s="286">
        <f t="shared" si="25"/>
        <v>0</v>
      </c>
      <c r="AK20" s="325">
        <f t="shared" si="7"/>
        <v>0</v>
      </c>
      <c r="AL20" s="536">
        <f t="shared" si="8"/>
        <v>0</v>
      </c>
      <c r="AM20" s="291">
        <f t="shared" si="9"/>
        <v>0</v>
      </c>
      <c r="AN20" s="292">
        <f t="shared" si="10"/>
        <v>0</v>
      </c>
      <c r="AO20" s="292">
        <f t="shared" si="11"/>
        <v>0</v>
      </c>
      <c r="AP20" s="292">
        <f t="shared" si="12"/>
        <v>0</v>
      </c>
      <c r="AQ20" s="292">
        <f t="shared" si="13"/>
        <v>0</v>
      </c>
      <c r="AR20" s="292">
        <f t="shared" si="14"/>
        <v>0</v>
      </c>
      <c r="AS20" s="293" t="str">
        <f t="shared" si="15"/>
        <v/>
      </c>
    </row>
    <row r="21" spans="1:45" s="279" customFormat="1">
      <c r="A21" s="46"/>
      <c r="B21" s="278"/>
      <c r="C21" s="305">
        <f t="shared" si="16"/>
        <v>0</v>
      </c>
      <c r="D21" s="46"/>
      <c r="E21" s="277"/>
      <c r="F21" s="532"/>
      <c r="G21" s="276"/>
      <c r="H21" s="321"/>
      <c r="I21" s="436">
        <f>IF(OR(Overview!$S$35="Interim Housing in Perpetuity",Overview!$S$35="Interim Housing with Plan to Convert to Permanent"),0,IFERROR(INDEX('Rent Limits'!$A$1:$O$1045,MATCH(AS21,'Rent Limits'!$A$1:$A$1045,0),MATCH(D21,'Rent Limits'!$A$1:$O$1,0)),0))</f>
        <v>0</v>
      </c>
      <c r="J21" s="437"/>
      <c r="K21" s="438"/>
      <c r="L21" s="442"/>
      <c r="M21" s="406"/>
      <c r="N21" s="438"/>
      <c r="O21" s="409"/>
      <c r="P21" s="438"/>
      <c r="Q21" s="384"/>
      <c r="R21" s="533"/>
      <c r="S21" s="533"/>
      <c r="T21" s="533"/>
      <c r="U21" s="385">
        <f t="shared" si="0"/>
        <v>0</v>
      </c>
      <c r="V21" s="288">
        <f t="shared" si="17"/>
        <v>0</v>
      </c>
      <c r="W21" s="323">
        <f t="shared" si="18"/>
        <v>0</v>
      </c>
      <c r="X21" s="289">
        <f t="shared" si="19"/>
        <v>0</v>
      </c>
      <c r="Y21" s="534">
        <f t="shared" si="1"/>
        <v>0</v>
      </c>
      <c r="Z21" s="324">
        <f t="shared" si="20"/>
        <v>0</v>
      </c>
      <c r="AA21" s="288">
        <f t="shared" si="21"/>
        <v>0</v>
      </c>
      <c r="AB21" s="289">
        <f t="shared" si="22"/>
        <v>0</v>
      </c>
      <c r="AC21" s="290">
        <f t="shared" si="2"/>
        <v>0</v>
      </c>
      <c r="AD21" s="538">
        <f t="shared" si="3"/>
        <v>0</v>
      </c>
      <c r="AE21" s="289">
        <f t="shared" si="23"/>
        <v>0</v>
      </c>
      <c r="AF21" s="289">
        <f t="shared" si="4"/>
        <v>0</v>
      </c>
      <c r="AG21" s="289">
        <f t="shared" si="24"/>
        <v>0</v>
      </c>
      <c r="AH21" s="286">
        <f t="shared" si="5"/>
        <v>0</v>
      </c>
      <c r="AI21" s="289">
        <f t="shared" si="6"/>
        <v>0</v>
      </c>
      <c r="AJ21" s="286">
        <f t="shared" si="25"/>
        <v>0</v>
      </c>
      <c r="AK21" s="325">
        <f t="shared" si="7"/>
        <v>0</v>
      </c>
      <c r="AL21" s="536">
        <f t="shared" si="8"/>
        <v>0</v>
      </c>
      <c r="AM21" s="291">
        <f t="shared" si="9"/>
        <v>0</v>
      </c>
      <c r="AN21" s="292">
        <f t="shared" si="10"/>
        <v>0</v>
      </c>
      <c r="AO21" s="292">
        <f t="shared" si="11"/>
        <v>0</v>
      </c>
      <c r="AP21" s="292">
        <f t="shared" si="12"/>
        <v>0</v>
      </c>
      <c r="AQ21" s="292">
        <f t="shared" si="13"/>
        <v>0</v>
      </c>
      <c r="AR21" s="292">
        <f t="shared" si="14"/>
        <v>0</v>
      </c>
      <c r="AS21" s="293" t="str">
        <f t="shared" si="15"/>
        <v/>
      </c>
    </row>
    <row r="22" spans="1:45" s="279" customFormat="1">
      <c r="A22" s="46"/>
      <c r="B22" s="278"/>
      <c r="C22" s="305">
        <f t="shared" si="16"/>
        <v>0</v>
      </c>
      <c r="D22" s="46"/>
      <c r="E22" s="277"/>
      <c r="F22" s="532"/>
      <c r="G22" s="276"/>
      <c r="H22" s="321"/>
      <c r="I22" s="436">
        <f>IF(OR(Overview!$S$35="Interim Housing in Perpetuity",Overview!$S$35="Interim Housing with Plan to Convert to Permanent"),0,IFERROR(INDEX('Rent Limits'!$A$1:$O$1045,MATCH(AS22,'Rent Limits'!$A$1:$A$1045,0),MATCH(D22,'Rent Limits'!$A$1:$O$1,0)),0))</f>
        <v>0</v>
      </c>
      <c r="J22" s="437"/>
      <c r="K22" s="438"/>
      <c r="L22" s="442"/>
      <c r="M22" s="406"/>
      <c r="N22" s="438"/>
      <c r="O22" s="409"/>
      <c r="P22" s="438"/>
      <c r="Q22" s="384"/>
      <c r="R22" s="533"/>
      <c r="S22" s="533"/>
      <c r="T22" s="533"/>
      <c r="U22" s="385">
        <f t="shared" si="0"/>
        <v>0</v>
      </c>
      <c r="V22" s="288">
        <f t="shared" si="17"/>
        <v>0</v>
      </c>
      <c r="W22" s="323">
        <f t="shared" si="18"/>
        <v>0</v>
      </c>
      <c r="X22" s="289">
        <f t="shared" si="19"/>
        <v>0</v>
      </c>
      <c r="Y22" s="534">
        <f t="shared" si="1"/>
        <v>0</v>
      </c>
      <c r="Z22" s="324">
        <f t="shared" si="20"/>
        <v>0</v>
      </c>
      <c r="AA22" s="288">
        <f t="shared" si="21"/>
        <v>0</v>
      </c>
      <c r="AB22" s="289">
        <f t="shared" si="22"/>
        <v>0</v>
      </c>
      <c r="AC22" s="290">
        <f t="shared" si="2"/>
        <v>0</v>
      </c>
      <c r="AD22" s="535">
        <f t="shared" si="3"/>
        <v>0</v>
      </c>
      <c r="AE22" s="289">
        <f t="shared" si="23"/>
        <v>0</v>
      </c>
      <c r="AF22" s="289">
        <f t="shared" si="4"/>
        <v>0</v>
      </c>
      <c r="AG22" s="289">
        <f t="shared" si="24"/>
        <v>0</v>
      </c>
      <c r="AH22" s="286">
        <f t="shared" si="5"/>
        <v>0</v>
      </c>
      <c r="AI22" s="289">
        <f t="shared" si="6"/>
        <v>0</v>
      </c>
      <c r="AJ22" s="286">
        <f t="shared" si="25"/>
        <v>0</v>
      </c>
      <c r="AK22" s="325">
        <f t="shared" si="7"/>
        <v>0</v>
      </c>
      <c r="AL22" s="536">
        <f t="shared" si="8"/>
        <v>0</v>
      </c>
      <c r="AM22" s="291">
        <f t="shared" si="9"/>
        <v>0</v>
      </c>
      <c r="AN22" s="292">
        <f t="shared" si="10"/>
        <v>0</v>
      </c>
      <c r="AO22" s="292">
        <f t="shared" si="11"/>
        <v>0</v>
      </c>
      <c r="AP22" s="292">
        <f t="shared" si="12"/>
        <v>0</v>
      </c>
      <c r="AQ22" s="292">
        <f t="shared" si="13"/>
        <v>0</v>
      </c>
      <c r="AR22" s="292">
        <f t="shared" si="14"/>
        <v>0</v>
      </c>
      <c r="AS22" s="293" t="str">
        <f t="shared" si="15"/>
        <v/>
      </c>
    </row>
    <row r="23" spans="1:45" s="279" customFormat="1">
      <c r="A23" s="46"/>
      <c r="B23" s="278"/>
      <c r="C23" s="305">
        <f t="shared" si="16"/>
        <v>0</v>
      </c>
      <c r="D23" s="46"/>
      <c r="E23" s="277"/>
      <c r="F23" s="532"/>
      <c r="G23" s="276"/>
      <c r="H23" s="321"/>
      <c r="I23" s="436">
        <f>IF(OR(Overview!$S$35="Interim Housing in Perpetuity",Overview!$S$35="Interim Housing with Plan to Convert to Permanent"),0,IFERROR(INDEX('Rent Limits'!$A$1:$O$1045,MATCH(AS23,'Rent Limits'!$A$1:$A$1045,0),MATCH(D23,'Rent Limits'!$A$1:$O$1,0)),0))</f>
        <v>0</v>
      </c>
      <c r="J23" s="437"/>
      <c r="K23" s="438"/>
      <c r="L23" s="442"/>
      <c r="M23" s="406"/>
      <c r="N23" s="438"/>
      <c r="O23" s="409"/>
      <c r="P23" s="438"/>
      <c r="Q23" s="384"/>
      <c r="R23" s="533"/>
      <c r="S23" s="533"/>
      <c r="T23" s="533"/>
      <c r="U23" s="385">
        <f t="shared" si="0"/>
        <v>0</v>
      </c>
      <c r="V23" s="288">
        <f t="shared" si="17"/>
        <v>0</v>
      </c>
      <c r="W23" s="323">
        <f t="shared" si="18"/>
        <v>0</v>
      </c>
      <c r="X23" s="289">
        <f t="shared" si="19"/>
        <v>0</v>
      </c>
      <c r="Y23" s="534">
        <f t="shared" si="1"/>
        <v>0</v>
      </c>
      <c r="Z23" s="324">
        <f t="shared" si="20"/>
        <v>0</v>
      </c>
      <c r="AA23" s="288">
        <f t="shared" si="21"/>
        <v>0</v>
      </c>
      <c r="AB23" s="289">
        <f t="shared" si="22"/>
        <v>0</v>
      </c>
      <c r="AC23" s="290">
        <f t="shared" si="2"/>
        <v>0</v>
      </c>
      <c r="AD23" s="535">
        <f t="shared" si="3"/>
        <v>0</v>
      </c>
      <c r="AE23" s="289">
        <f t="shared" si="23"/>
        <v>0</v>
      </c>
      <c r="AF23" s="289">
        <f t="shared" si="4"/>
        <v>0</v>
      </c>
      <c r="AG23" s="289">
        <f t="shared" si="24"/>
        <v>0</v>
      </c>
      <c r="AH23" s="286">
        <f t="shared" si="5"/>
        <v>0</v>
      </c>
      <c r="AI23" s="289">
        <f t="shared" si="6"/>
        <v>0</v>
      </c>
      <c r="AJ23" s="286">
        <f t="shared" si="25"/>
        <v>0</v>
      </c>
      <c r="AK23" s="325">
        <f t="shared" si="7"/>
        <v>0</v>
      </c>
      <c r="AL23" s="536">
        <f t="shared" si="8"/>
        <v>0</v>
      </c>
      <c r="AM23" s="291">
        <f t="shared" si="9"/>
        <v>0</v>
      </c>
      <c r="AN23" s="292">
        <f t="shared" si="10"/>
        <v>0</v>
      </c>
      <c r="AO23" s="292">
        <f t="shared" si="11"/>
        <v>0</v>
      </c>
      <c r="AP23" s="292">
        <f t="shared" si="12"/>
        <v>0</v>
      </c>
      <c r="AQ23" s="292">
        <f t="shared" si="13"/>
        <v>0</v>
      </c>
      <c r="AR23" s="292">
        <f t="shared" si="14"/>
        <v>0</v>
      </c>
      <c r="AS23" s="293" t="str">
        <f t="shared" si="15"/>
        <v/>
      </c>
    </row>
    <row r="24" spans="1:45" s="279" customFormat="1" ht="13" thickBot="1">
      <c r="A24" s="281"/>
      <c r="B24" s="282"/>
      <c r="C24" s="306">
        <f t="shared" si="16"/>
        <v>0</v>
      </c>
      <c r="D24" s="281"/>
      <c r="E24" s="389"/>
      <c r="F24" s="285"/>
      <c r="G24" s="283"/>
      <c r="H24" s="284"/>
      <c r="I24" s="439">
        <f>IF(OR(Overview!$S$35="Interim Housing in Perpetuity",Overview!$S$35="Interim Housing with Plan to Convert to Permanent"),0,IFERROR(INDEX('Rent Limits'!$A$1:$O$1045,MATCH(AS24,'Rent Limits'!$A$1:$A$1045,0),MATCH(D24,'Rent Limits'!$A$1:$O$1,0)),0))</f>
        <v>0</v>
      </c>
      <c r="J24" s="440"/>
      <c r="K24" s="441"/>
      <c r="L24" s="443"/>
      <c r="M24" s="407"/>
      <c r="N24" s="441"/>
      <c r="O24" s="410"/>
      <c r="P24" s="441"/>
      <c r="Q24" s="386"/>
      <c r="R24" s="387"/>
      <c r="S24" s="387"/>
      <c r="T24" s="387"/>
      <c r="U24" s="388">
        <f t="shared" si="0"/>
        <v>0</v>
      </c>
      <c r="V24" s="294">
        <f t="shared" si="17"/>
        <v>0</v>
      </c>
      <c r="W24" s="295">
        <f t="shared" si="18"/>
        <v>0</v>
      </c>
      <c r="X24" s="295">
        <f t="shared" si="19"/>
        <v>0</v>
      </c>
      <c r="Y24" s="296">
        <f t="shared" si="1"/>
        <v>0</v>
      </c>
      <c r="Z24" s="297">
        <f t="shared" si="20"/>
        <v>0</v>
      </c>
      <c r="AA24" s="294">
        <f t="shared" si="21"/>
        <v>0</v>
      </c>
      <c r="AB24" s="295">
        <f t="shared" si="22"/>
        <v>0</v>
      </c>
      <c r="AC24" s="298">
        <f t="shared" si="2"/>
        <v>0</v>
      </c>
      <c r="AD24" s="299">
        <f t="shared" si="3"/>
        <v>0</v>
      </c>
      <c r="AE24" s="295">
        <f t="shared" si="23"/>
        <v>0</v>
      </c>
      <c r="AF24" s="295">
        <f t="shared" si="4"/>
        <v>0</v>
      </c>
      <c r="AG24" s="295">
        <f t="shared" si="24"/>
        <v>0</v>
      </c>
      <c r="AH24" s="287">
        <f t="shared" si="5"/>
        <v>0</v>
      </c>
      <c r="AI24" s="295">
        <f t="shared" si="6"/>
        <v>0</v>
      </c>
      <c r="AJ24" s="287">
        <f t="shared" si="25"/>
        <v>0</v>
      </c>
      <c r="AK24" s="326">
        <f t="shared" si="7"/>
        <v>0</v>
      </c>
      <c r="AL24" s="328">
        <f t="shared" si="8"/>
        <v>0</v>
      </c>
      <c r="AM24" s="300">
        <f t="shared" si="9"/>
        <v>0</v>
      </c>
      <c r="AN24" s="301">
        <f t="shared" si="10"/>
        <v>0</v>
      </c>
      <c r="AO24" s="301">
        <f t="shared" si="11"/>
        <v>0</v>
      </c>
      <c r="AP24" s="301">
        <f t="shared" si="12"/>
        <v>0</v>
      </c>
      <c r="AQ24" s="301">
        <f t="shared" si="13"/>
        <v>0</v>
      </c>
      <c r="AR24" s="301">
        <f t="shared" si="14"/>
        <v>0</v>
      </c>
      <c r="AS24" s="302" t="str">
        <f t="shared" si="15"/>
        <v/>
      </c>
    </row>
    <row r="25" spans="1:45" s="279" customFormat="1" ht="15" customHeight="1" thickBot="1">
      <c r="A25" s="479" t="s">
        <v>602</v>
      </c>
      <c r="B25" s="480">
        <f>SUM(B5:B24)</f>
        <v>0</v>
      </c>
      <c r="C25" s="481">
        <f>SUM(C5:C24)</f>
        <v>0</v>
      </c>
      <c r="D25" s="482"/>
      <c r="E25" s="480">
        <f>SUM(E5:E24)</f>
        <v>0</v>
      </c>
      <c r="F25" s="539"/>
      <c r="G25" s="483"/>
      <c r="H25" s="484">
        <f>SUM(H5:H24)</f>
        <v>0</v>
      </c>
      <c r="I25" s="1611"/>
      <c r="J25" s="1612"/>
      <c r="K25" s="1613"/>
      <c r="L25" s="485"/>
      <c r="M25" s="486">
        <f>SUM(M5:M24)</f>
        <v>0</v>
      </c>
      <c r="N25" s="516"/>
      <c r="O25" s="487">
        <f>SUM(O5:O24)</f>
        <v>0</v>
      </c>
      <c r="P25" s="516"/>
      <c r="Q25" s="448">
        <f t="shared" ref="Q25:AE25" si="26">SUM(Q5:Q24)</f>
        <v>0</v>
      </c>
      <c r="R25" s="449">
        <f t="shared" si="26"/>
        <v>0</v>
      </c>
      <c r="S25" s="449">
        <f t="shared" si="26"/>
        <v>0</v>
      </c>
      <c r="T25" s="449">
        <f t="shared" si="26"/>
        <v>0</v>
      </c>
      <c r="U25" s="450">
        <f t="shared" si="26"/>
        <v>0</v>
      </c>
      <c r="V25" s="488">
        <f t="shared" si="26"/>
        <v>0</v>
      </c>
      <c r="W25" s="489">
        <f t="shared" si="26"/>
        <v>0</v>
      </c>
      <c r="X25" s="489">
        <f t="shared" si="26"/>
        <v>0</v>
      </c>
      <c r="Y25" s="490">
        <f t="shared" si="26"/>
        <v>0</v>
      </c>
      <c r="Z25" s="493">
        <f t="shared" si="26"/>
        <v>0</v>
      </c>
      <c r="AA25" s="492">
        <f t="shared" si="26"/>
        <v>0</v>
      </c>
      <c r="AB25" s="489">
        <f t="shared" si="26"/>
        <v>0</v>
      </c>
      <c r="AC25" s="494">
        <f t="shared" si="26"/>
        <v>0</v>
      </c>
      <c r="AD25" s="489">
        <f t="shared" si="26"/>
        <v>0</v>
      </c>
      <c r="AE25" s="489">
        <f t="shared" si="26"/>
        <v>0</v>
      </c>
      <c r="AF25" s="540"/>
      <c r="AG25" s="540"/>
      <c r="AH25" s="540"/>
      <c r="AI25" s="489">
        <f t="shared" ref="AI25:AR25" si="27">SUM(AI5:AI24)</f>
        <v>0</v>
      </c>
      <c r="AJ25" s="489">
        <f t="shared" si="27"/>
        <v>0</v>
      </c>
      <c r="AK25" s="491">
        <f t="shared" si="27"/>
        <v>0</v>
      </c>
      <c r="AL25" s="329">
        <f t="shared" si="27"/>
        <v>0</v>
      </c>
      <c r="AM25" s="303">
        <f t="shared" si="27"/>
        <v>0</v>
      </c>
      <c r="AN25" s="304">
        <f t="shared" si="27"/>
        <v>0</v>
      </c>
      <c r="AO25" s="304">
        <f t="shared" si="27"/>
        <v>0</v>
      </c>
      <c r="AP25" s="304">
        <f t="shared" si="27"/>
        <v>0</v>
      </c>
      <c r="AQ25" s="304">
        <f t="shared" si="27"/>
        <v>0</v>
      </c>
      <c r="AR25" s="304">
        <f t="shared" si="27"/>
        <v>0</v>
      </c>
      <c r="AS25" s="541"/>
    </row>
    <row r="26" spans="1:45" ht="14.25" customHeight="1" thickBot="1">
      <c r="A26" s="1584"/>
      <c r="B26" s="1585"/>
      <c r="C26" s="1585"/>
      <c r="D26" s="1585"/>
      <c r="E26" s="1594" t="s">
        <v>603</v>
      </c>
      <c r="F26" s="1594"/>
      <c r="G26" s="1594"/>
      <c r="H26" s="1594"/>
      <c r="I26" s="473">
        <f>12*AN25</f>
        <v>0</v>
      </c>
      <c r="J26" s="474">
        <f>12*AO25</f>
        <v>0</v>
      </c>
      <c r="K26" s="475">
        <f>12*AP25</f>
        <v>0</v>
      </c>
      <c r="L26" s="1592" t="s">
        <v>604</v>
      </c>
      <c r="M26" s="1593"/>
      <c r="N26" s="476">
        <f>AQ25*12</f>
        <v>0</v>
      </c>
      <c r="O26" s="477"/>
      <c r="P26" s="478">
        <f>'Award, Match, and Revenue'!AR25*12</f>
        <v>0</v>
      </c>
      <c r="Q26" s="542">
        <f>IFERROR(Q25/$U$25,0)</f>
        <v>0</v>
      </c>
      <c r="R26" s="543">
        <f t="shared" ref="R26:U26" si="28">IFERROR(R25/$U$25,0)</f>
        <v>0</v>
      </c>
      <c r="S26" s="543">
        <f t="shared" si="28"/>
        <v>0</v>
      </c>
      <c r="T26" s="543">
        <f t="shared" si="28"/>
        <v>0</v>
      </c>
      <c r="U26" s="544">
        <f t="shared" si="28"/>
        <v>0</v>
      </c>
      <c r="V26" s="1617" t="s">
        <v>605</v>
      </c>
      <c r="W26" s="1610"/>
      <c r="X26" s="1610"/>
      <c r="Y26" s="1610"/>
      <c r="Z26" s="1610"/>
      <c r="AA26" s="294">
        <f>'Dev Budget'!L126</f>
        <v>0</v>
      </c>
      <c r="AB26" s="545"/>
      <c r="AC26" s="545"/>
      <c r="AD26" s="1610"/>
      <c r="AE26" s="1610"/>
      <c r="AF26" s="1610"/>
      <c r="AG26" s="545"/>
      <c r="AH26" s="545"/>
      <c r="AI26" s="545"/>
      <c r="AJ26" s="545"/>
      <c r="AK26" s="546"/>
      <c r="AL26" s="546"/>
      <c r="AM26" s="2"/>
      <c r="AN26" s="2"/>
      <c r="AO26" s="2"/>
      <c r="AP26" s="2"/>
      <c r="AQ26" s="2"/>
      <c r="AR26" s="2"/>
      <c r="AS26" s="2"/>
    </row>
    <row r="27" spans="1:45" ht="33.75" customHeight="1" thickBot="1">
      <c r="A27" s="1552" t="s">
        <v>152</v>
      </c>
      <c r="B27" s="1553"/>
      <c r="C27" s="1554" t="s">
        <v>606</v>
      </c>
      <c r="D27" s="1554"/>
      <c r="E27" s="1554"/>
      <c r="F27" s="1651" t="s">
        <v>607</v>
      </c>
      <c r="G27" s="1651"/>
      <c r="H27" s="1651"/>
      <c r="I27" s="1651"/>
      <c r="J27" s="1651"/>
      <c r="K27" s="1651"/>
      <c r="L27" s="1652" t="s">
        <v>112</v>
      </c>
      <c r="M27" s="1653"/>
      <c r="N27" s="399"/>
      <c r="O27" s="527"/>
      <c r="P27" s="527"/>
      <c r="Q27" s="527"/>
      <c r="R27" s="547"/>
      <c r="S27" s="547"/>
      <c r="T27" s="547"/>
      <c r="U27" s="547"/>
      <c r="V27" s="527"/>
      <c r="W27" s="527"/>
      <c r="X27" s="527"/>
      <c r="Y27" s="527"/>
      <c r="Z27" s="527"/>
      <c r="AA27" s="527"/>
      <c r="AB27" s="527"/>
      <c r="AC27" s="527"/>
      <c r="AD27" s="527"/>
      <c r="AE27" s="527"/>
      <c r="AF27" s="527"/>
      <c r="AG27" s="527"/>
      <c r="AH27" s="527"/>
      <c r="AI27" s="527"/>
      <c r="AJ27" s="527"/>
      <c r="AK27" s="527"/>
      <c r="AL27" s="2"/>
      <c r="AM27" s="2"/>
      <c r="AN27" s="2"/>
      <c r="AO27" s="2"/>
      <c r="AP27" s="2"/>
      <c r="AQ27" s="2"/>
      <c r="AR27" s="2"/>
      <c r="AS27" s="2"/>
    </row>
    <row r="28" spans="1:45" ht="13" thickBot="1">
      <c r="A28" s="2"/>
      <c r="B28" s="2"/>
      <c r="C28" s="2"/>
      <c r="D28" s="2"/>
      <c r="E28" s="2"/>
      <c r="F28" s="2"/>
      <c r="G28" s="2"/>
      <c r="H28" s="2"/>
      <c r="I28" s="2"/>
      <c r="J28" s="2"/>
      <c r="K28" s="2"/>
      <c r="L28" s="2"/>
      <c r="M28" s="2"/>
      <c r="N28" s="2"/>
      <c r="O28" s="2"/>
      <c r="P28" s="2"/>
      <c r="Q28" s="2"/>
      <c r="R28" s="547"/>
      <c r="S28" s="547"/>
      <c r="T28" s="547"/>
      <c r="U28" s="547"/>
      <c r="V28" s="2"/>
      <c r="W28" s="2"/>
      <c r="X28" s="2"/>
      <c r="Y28" s="2"/>
      <c r="Z28" s="2"/>
      <c r="AA28" s="2"/>
      <c r="AB28" s="2"/>
      <c r="AC28" s="2"/>
      <c r="AD28" s="2"/>
      <c r="AE28" s="2"/>
      <c r="AF28" s="2"/>
      <c r="AG28" s="2"/>
      <c r="AH28" s="2"/>
      <c r="AI28" s="2"/>
      <c r="AJ28" s="2"/>
      <c r="AK28" s="2"/>
      <c r="AL28" s="2"/>
      <c r="AM28" s="2"/>
      <c r="AN28" s="2"/>
      <c r="AO28" s="2"/>
      <c r="AP28" s="2"/>
      <c r="AQ28" s="2"/>
      <c r="AR28" s="2"/>
      <c r="AS28" s="2"/>
    </row>
    <row r="29" spans="1:45" ht="18" customHeight="1">
      <c r="A29" s="1563" t="s">
        <v>608</v>
      </c>
      <c r="B29" s="1564"/>
      <c r="C29" s="1564"/>
      <c r="D29" s="1564"/>
      <c r="E29" s="1564"/>
      <c r="F29" s="1564"/>
      <c r="G29" s="1564"/>
      <c r="H29" s="1564"/>
      <c r="I29" s="1564"/>
      <c r="J29" s="1564"/>
      <c r="K29" s="1564"/>
      <c r="L29" s="1564"/>
      <c r="M29" s="1564"/>
      <c r="N29" s="1564"/>
      <c r="O29" s="1564"/>
      <c r="P29" s="1565"/>
      <c r="Q29" s="527"/>
      <c r="R29" s="547"/>
      <c r="S29" s="547"/>
      <c r="T29" s="547"/>
      <c r="U29" s="547"/>
      <c r="V29" s="527"/>
      <c r="W29" s="527"/>
      <c r="X29" s="527"/>
      <c r="Y29" s="527"/>
      <c r="Z29" s="527"/>
      <c r="AA29" s="527"/>
      <c r="AB29" s="527"/>
      <c r="AC29" s="527"/>
      <c r="AD29" s="527"/>
      <c r="AE29" s="527"/>
      <c r="AF29" s="527"/>
      <c r="AG29" s="527"/>
      <c r="AH29" s="527"/>
      <c r="AI29" s="527"/>
      <c r="AJ29" s="2"/>
      <c r="AK29" s="2"/>
      <c r="AL29" s="2"/>
      <c r="AM29" s="2"/>
      <c r="AN29" s="2"/>
      <c r="AO29" s="2"/>
      <c r="AP29" s="2"/>
      <c r="AQ29" s="2"/>
      <c r="AR29" s="2"/>
      <c r="AS29" s="2"/>
    </row>
    <row r="30" spans="1:45" s="24" customFormat="1" ht="30" customHeight="1" thickBot="1">
      <c r="A30" s="1628" t="s">
        <v>152</v>
      </c>
      <c r="B30" s="1629"/>
      <c r="C30" s="1630" t="s">
        <v>609</v>
      </c>
      <c r="D30" s="1630"/>
      <c r="E30" s="1630"/>
      <c r="F30" s="1631" t="s">
        <v>610</v>
      </c>
      <c r="G30" s="1631"/>
      <c r="H30" s="1631"/>
      <c r="I30" s="1631"/>
      <c r="J30" s="1631"/>
      <c r="K30" s="1631"/>
      <c r="L30" s="1632" t="s">
        <v>112</v>
      </c>
      <c r="M30" s="1633"/>
      <c r="N30" s="463"/>
      <c r="O30" s="1566"/>
      <c r="P30" s="1567"/>
      <c r="Q30" s="2"/>
      <c r="R30" s="1549" t="s">
        <v>611</v>
      </c>
      <c r="S30" s="1549"/>
      <c r="T30" s="1549"/>
      <c r="U30" s="1549"/>
    </row>
    <row r="31" spans="1:45" s="24" customFormat="1" ht="30" customHeight="1">
      <c r="A31" s="1560" t="s">
        <v>612</v>
      </c>
      <c r="B31" s="1561"/>
      <c r="C31" s="1561"/>
      <c r="D31" s="1561"/>
      <c r="E31" s="1561"/>
      <c r="F31" s="1561"/>
      <c r="G31" s="1561"/>
      <c r="H31" s="1561"/>
      <c r="I31" s="1561"/>
      <c r="J31" s="1561"/>
      <c r="K31" s="1561"/>
      <c r="L31" s="1561"/>
      <c r="M31" s="1562"/>
      <c r="N31" s="467" t="s">
        <v>613</v>
      </c>
      <c r="O31" s="458" t="s">
        <v>614</v>
      </c>
      <c r="P31" s="468" t="s">
        <v>615</v>
      </c>
      <c r="Q31" s="2"/>
      <c r="R31" s="1548" t="s">
        <v>616</v>
      </c>
      <c r="S31" s="1548"/>
      <c r="T31" s="548">
        <f>SUMIF($D$5:$D$24,0,$E$5:$E$24)</f>
        <v>0</v>
      </c>
      <c r="U31" s="549">
        <f>IFERROR(T31/$T$37,0)</f>
        <v>0</v>
      </c>
    </row>
    <row r="32" spans="1:45" s="20" customFormat="1" ht="14.5">
      <c r="A32" s="1556" t="s">
        <v>617</v>
      </c>
      <c r="B32" s="1557"/>
      <c r="C32" s="1557"/>
      <c r="D32" s="1557"/>
      <c r="E32" s="1586"/>
      <c r="F32" s="1587" t="str">
        <f>IF(AND(C25&gt;X25,C25&gt;AC25),"Bdrm size of doors at Acquisition",IF(AND(X25&gt;C25,X25&gt;AC25),"Proposed population and proposed bdrm size",IF(AND(AC25&gt;C25,AC25&gt;X25),"Assisted units share of Project Costs","")))</f>
        <v/>
      </c>
      <c r="G32" s="1588"/>
      <c r="H32" s="1588"/>
      <c r="I32" s="1588"/>
      <c r="J32" s="1588"/>
      <c r="K32" s="1588"/>
      <c r="L32" s="1588"/>
      <c r="M32" s="1589"/>
      <c r="N32" s="454">
        <f>AD25</f>
        <v>0</v>
      </c>
      <c r="O32" s="469"/>
      <c r="P32" s="453">
        <f>MIN(N32,O32)</f>
        <v>0</v>
      </c>
      <c r="Q32" s="2"/>
      <c r="R32" s="1548" t="s">
        <v>618</v>
      </c>
      <c r="S32" s="1548"/>
      <c r="T32" s="548">
        <f>SUMIF($D$5:$D$24,1,$E$5:$E$24)</f>
        <v>0</v>
      </c>
      <c r="U32" s="549">
        <f t="shared" ref="U32:U37" si="29">IFERROR(T32/$T$37,0)</f>
        <v>0</v>
      </c>
      <c r="V32" s="74"/>
      <c r="W32" s="74"/>
      <c r="X32" s="74"/>
    </row>
    <row r="33" spans="1:24" s="20" customFormat="1" ht="14.5">
      <c r="A33" s="1580" t="s">
        <v>619</v>
      </c>
      <c r="B33" s="1581"/>
      <c r="C33" s="1581"/>
      <c r="D33" s="1581"/>
      <c r="E33" s="1581"/>
      <c r="F33" s="1581"/>
      <c r="G33" s="1581"/>
      <c r="H33" s="1581"/>
      <c r="I33" s="1581"/>
      <c r="J33" s="1581"/>
      <c r="K33" s="1581"/>
      <c r="L33" s="1581"/>
      <c r="M33" s="1581"/>
      <c r="N33" s="454">
        <f>AJ25</f>
        <v>0</v>
      </c>
      <c r="O33" s="469"/>
      <c r="P33" s="453">
        <f>MIN(N33,O33)</f>
        <v>0</v>
      </c>
      <c r="Q33" s="2"/>
      <c r="R33" s="1548" t="s">
        <v>620</v>
      </c>
      <c r="S33" s="1548"/>
      <c r="T33" s="548">
        <f>SUMIF($D$5:$D$24,2,$E$5:$E$24)</f>
        <v>0</v>
      </c>
      <c r="U33" s="549">
        <f t="shared" si="29"/>
        <v>0</v>
      </c>
      <c r="V33" s="74"/>
      <c r="W33" s="74"/>
      <c r="X33" s="74"/>
    </row>
    <row r="34" spans="1:24" s="20" customFormat="1" ht="14.5">
      <c r="A34" s="1582" t="s">
        <v>621</v>
      </c>
      <c r="B34" s="1583"/>
      <c r="C34" s="1583"/>
      <c r="D34" s="1583"/>
      <c r="E34" s="1583"/>
      <c r="F34" s="1583"/>
      <c r="G34" s="1583"/>
      <c r="H34" s="1583"/>
      <c r="I34" s="1583"/>
      <c r="J34" s="1583"/>
      <c r="K34" s="1583"/>
      <c r="L34" s="1583"/>
      <c r="M34" s="1583"/>
      <c r="N34" s="459">
        <f>SUM(N32:N33)</f>
        <v>0</v>
      </c>
      <c r="O34" s="550">
        <f>SUM(O32:O33)</f>
        <v>0</v>
      </c>
      <c r="P34" s="460">
        <f>SUM(P32:P33)</f>
        <v>0</v>
      </c>
      <c r="Q34" s="2"/>
      <c r="R34" s="1548" t="s">
        <v>622</v>
      </c>
      <c r="S34" s="1548"/>
      <c r="T34" s="548">
        <f>SUMIF($D$5:$D$24,3,$E$5:$E$24)</f>
        <v>0</v>
      </c>
      <c r="U34" s="549">
        <f t="shared" si="29"/>
        <v>0</v>
      </c>
      <c r="V34" s="74"/>
      <c r="W34" s="74"/>
      <c r="X34" s="74"/>
    </row>
    <row r="35" spans="1:24" ht="16.5" customHeight="1" thickBot="1">
      <c r="A35" s="1618" t="s">
        <v>623</v>
      </c>
      <c r="B35" s="1619"/>
      <c r="C35" s="1619"/>
      <c r="D35" s="1619"/>
      <c r="E35" s="1619"/>
      <c r="F35" s="1619"/>
      <c r="G35" s="1620"/>
      <c r="H35" s="1621">
        <f>U25</f>
        <v>0</v>
      </c>
      <c r="I35" s="1622"/>
      <c r="J35" s="1590" t="s">
        <v>624</v>
      </c>
      <c r="K35" s="1591"/>
      <c r="L35" s="1591"/>
      <c r="M35" s="1591"/>
      <c r="N35" s="398">
        <f>E25</f>
        <v>0</v>
      </c>
      <c r="O35" s="551"/>
      <c r="P35" s="552"/>
      <c r="Q35" s="2"/>
      <c r="R35" s="1548" t="s">
        <v>625</v>
      </c>
      <c r="S35" s="1548"/>
      <c r="T35" s="548">
        <f>SUMIF($D$5:$D$24,4,$E$5:$E$24)</f>
        <v>0</v>
      </c>
      <c r="U35" s="549">
        <f t="shared" si="29"/>
        <v>0</v>
      </c>
      <c r="V35" s="2"/>
      <c r="W35" s="2"/>
      <c r="X35" s="2"/>
    </row>
    <row r="36" spans="1:24" ht="30" customHeight="1">
      <c r="A36" s="1623" t="s">
        <v>626</v>
      </c>
      <c r="B36" s="1624"/>
      <c r="C36" s="1624"/>
      <c r="D36" s="1624"/>
      <c r="E36" s="1624"/>
      <c r="F36" s="1624"/>
      <c r="G36" s="1624"/>
      <c r="H36" s="1624"/>
      <c r="I36" s="1624"/>
      <c r="J36" s="1624"/>
      <c r="K36" s="1624"/>
      <c r="L36" s="1624"/>
      <c r="M36" s="1624"/>
      <c r="N36" s="472" t="s">
        <v>627</v>
      </c>
      <c r="O36" s="553"/>
      <c r="P36" s="528"/>
      <c r="Q36" s="2"/>
      <c r="R36" s="1548" t="s">
        <v>628</v>
      </c>
      <c r="S36" s="1548"/>
      <c r="T36" s="548">
        <f>SUMIF($D$5:$D$24,5,$E$5:$E$24)</f>
        <v>0</v>
      </c>
      <c r="U36" s="549">
        <f t="shared" si="29"/>
        <v>0</v>
      </c>
      <c r="V36" s="2"/>
      <c r="W36" s="2"/>
      <c r="X36" s="2"/>
    </row>
    <row r="37" spans="1:24" ht="30" customHeight="1">
      <c r="A37" s="1601" t="s">
        <v>629</v>
      </c>
      <c r="B37" s="1602"/>
      <c r="C37" s="1602"/>
      <c r="D37" s="1602"/>
      <c r="E37" s="1602"/>
      <c r="F37" s="1602"/>
      <c r="G37" s="1602"/>
      <c r="H37" s="1602"/>
      <c r="I37" s="1602"/>
      <c r="J37" s="554">
        <f>R25+T25</f>
        <v>0</v>
      </c>
      <c r="K37" s="1595" t="s">
        <v>630</v>
      </c>
      <c r="L37" s="1595"/>
      <c r="M37" s="555">
        <v>1400</v>
      </c>
      <c r="N37" s="556">
        <f>J37*M37</f>
        <v>0</v>
      </c>
      <c r="O37" s="553"/>
      <c r="P37" s="528"/>
      <c r="Q37" s="2"/>
      <c r="R37" s="1555" t="s">
        <v>631</v>
      </c>
      <c r="S37" s="1555"/>
      <c r="T37" s="557">
        <f>SUM(T31:T36)</f>
        <v>0</v>
      </c>
      <c r="U37" s="558">
        <f t="shared" si="29"/>
        <v>0</v>
      </c>
      <c r="V37" s="2"/>
      <c r="W37" s="2"/>
      <c r="X37" s="2"/>
    </row>
    <row r="38" spans="1:24" ht="15" customHeight="1">
      <c r="A38" s="833" t="s">
        <v>632</v>
      </c>
      <c r="B38" s="834"/>
      <c r="C38" s="834"/>
      <c r="D38" s="834"/>
      <c r="E38" s="834"/>
      <c r="F38" s="834"/>
      <c r="G38" s="834"/>
      <c r="H38" s="834"/>
      <c r="I38" s="834"/>
      <c r="J38" s="554">
        <f>Q25+S25</f>
        <v>0</v>
      </c>
      <c r="K38" s="1595" t="s">
        <v>630</v>
      </c>
      <c r="L38" s="1595"/>
      <c r="M38" s="555">
        <v>1000</v>
      </c>
      <c r="N38" s="556">
        <f>J38*M38</f>
        <v>0</v>
      </c>
      <c r="O38" s="553"/>
      <c r="P38" s="528"/>
      <c r="Q38" s="2"/>
      <c r="R38" s="2"/>
      <c r="S38" s="2"/>
      <c r="T38" s="2"/>
      <c r="U38" s="2"/>
      <c r="V38" s="2"/>
      <c r="W38" s="2"/>
      <c r="X38" s="2"/>
    </row>
    <row r="39" spans="1:24" ht="15.5">
      <c r="A39" s="633" t="s">
        <v>633</v>
      </c>
      <c r="B39" s="634"/>
      <c r="C39" s="634"/>
      <c r="D39" s="634"/>
      <c r="E39" s="634"/>
      <c r="F39" s="634"/>
      <c r="G39" s="634"/>
      <c r="H39" s="634"/>
      <c r="I39" s="634"/>
      <c r="J39" s="634"/>
      <c r="K39" s="634"/>
      <c r="L39" s="634"/>
      <c r="M39" s="662"/>
      <c r="N39" s="556">
        <f>N37+N38</f>
        <v>0</v>
      </c>
      <c r="O39" s="553"/>
      <c r="P39" s="528"/>
      <c r="Q39" s="2"/>
      <c r="R39" s="1549" t="s">
        <v>634</v>
      </c>
      <c r="S39" s="1549"/>
      <c r="T39" s="1549"/>
      <c r="U39" s="1549"/>
      <c r="V39" s="2"/>
      <c r="W39" s="2"/>
      <c r="X39" s="2"/>
    </row>
    <row r="40" spans="1:24" ht="28">
      <c r="A40" s="1646" t="s">
        <v>635</v>
      </c>
      <c r="B40" s="1647"/>
      <c r="C40" s="1647"/>
      <c r="D40" s="1647"/>
      <c r="E40" s="1647"/>
      <c r="F40" s="1647"/>
      <c r="G40" s="1647"/>
      <c r="H40" s="1647"/>
      <c r="I40" s="1647"/>
      <c r="J40" s="1647"/>
      <c r="K40" s="1647"/>
      <c r="L40" s="1647"/>
      <c r="M40" s="1648"/>
      <c r="N40" s="559" t="s">
        <v>636</v>
      </c>
      <c r="O40" s="553"/>
      <c r="P40" s="528"/>
      <c r="Q40" s="2"/>
      <c r="R40" s="1548" t="s">
        <v>616</v>
      </c>
      <c r="S40" s="1548"/>
      <c r="T40" s="548">
        <f>SUMIF($D$5:$D$24,0,$U$5:$U$24)</f>
        <v>0</v>
      </c>
      <c r="U40" s="549">
        <f>IFERROR(T40/$T$46,0)</f>
        <v>0</v>
      </c>
      <c r="V40" s="2"/>
      <c r="W40" s="2"/>
      <c r="X40" s="2"/>
    </row>
    <row r="41" spans="1:24" ht="30" customHeight="1">
      <c r="A41" s="1568" t="s">
        <v>637</v>
      </c>
      <c r="B41" s="1569"/>
      <c r="C41" s="1569"/>
      <c r="D41" s="1570"/>
      <c r="E41" s="1574" t="str">
        <f>Operating!C38</f>
        <v>Operating Subsidy: (specify)</v>
      </c>
      <c r="F41" s="1575"/>
      <c r="G41" s="1576"/>
      <c r="H41" s="1595" t="s">
        <v>638</v>
      </c>
      <c r="I41" s="1595"/>
      <c r="J41" s="560"/>
      <c r="K41" s="1595" t="s">
        <v>639</v>
      </c>
      <c r="L41" s="1595"/>
      <c r="M41" s="561">
        <f>IF(OR(J41&gt;3,'Application Scoring Criteria'!AK2&gt;=140),3,IF(J41&gt;2,2,0))</f>
        <v>0</v>
      </c>
      <c r="N41" s="504">
        <f>M41*12*N39</f>
        <v>0</v>
      </c>
      <c r="O41" s="553"/>
      <c r="P41" s="528"/>
      <c r="Q41" s="2"/>
      <c r="R41" s="1548" t="s">
        <v>618</v>
      </c>
      <c r="S41" s="1548"/>
      <c r="T41" s="548">
        <f>SUMIF($D$5:$D$24,1,$U$5:$U$24)</f>
        <v>0</v>
      </c>
      <c r="U41" s="549">
        <f t="shared" ref="U41:U45" si="30">IFERROR(T41/$T$46,0)</f>
        <v>0</v>
      </c>
      <c r="V41" s="2"/>
      <c r="W41" s="2"/>
      <c r="X41" s="2"/>
    </row>
    <row r="42" spans="1:24" ht="30" customHeight="1">
      <c r="A42" s="1568" t="s">
        <v>640</v>
      </c>
      <c r="B42" s="1569"/>
      <c r="C42" s="1569"/>
      <c r="D42" s="1570"/>
      <c r="E42" s="1574" t="str">
        <f>Operating!C39</f>
        <v>Operating Subsidy: (specify)</v>
      </c>
      <c r="F42" s="1575"/>
      <c r="G42" s="1576"/>
      <c r="H42" s="1595" t="s">
        <v>638</v>
      </c>
      <c r="I42" s="1595"/>
      <c r="J42" s="560"/>
      <c r="K42" s="1595" t="s">
        <v>639</v>
      </c>
      <c r="L42" s="1595"/>
      <c r="M42" s="561">
        <f>IF(OR(J42&gt;3,'Application Scoring Criteria'!AK2&gt;=140),3,IF(J42&gt;2,2,0))</f>
        <v>0</v>
      </c>
      <c r="N42" s="504">
        <f>M42*12*N39</f>
        <v>0</v>
      </c>
      <c r="O42" s="553"/>
      <c r="P42" s="528"/>
      <c r="Q42" s="2"/>
      <c r="R42" s="1548" t="s">
        <v>620</v>
      </c>
      <c r="S42" s="1548"/>
      <c r="T42" s="548">
        <f>SUMIF($D$5:$D$24,2,$U$5:$U$24)</f>
        <v>0</v>
      </c>
      <c r="U42" s="549">
        <f t="shared" si="30"/>
        <v>0</v>
      </c>
      <c r="V42" s="2"/>
      <c r="W42" s="2"/>
      <c r="X42" s="2"/>
    </row>
    <row r="43" spans="1:24" ht="30" customHeight="1">
      <c r="A43" s="1568" t="s">
        <v>641</v>
      </c>
      <c r="B43" s="1569"/>
      <c r="C43" s="1569"/>
      <c r="D43" s="1569"/>
      <c r="E43" s="1569"/>
      <c r="F43" s="1569"/>
      <c r="G43" s="1569"/>
      <c r="H43" s="1569"/>
      <c r="I43" s="1569"/>
      <c r="J43" s="1569"/>
      <c r="K43" s="1569"/>
      <c r="L43" s="1569"/>
      <c r="M43" s="1570"/>
      <c r="N43" s="556"/>
      <c r="O43" s="553"/>
      <c r="P43" s="528"/>
      <c r="Q43" s="2"/>
      <c r="R43" s="1548" t="s">
        <v>622</v>
      </c>
      <c r="S43" s="1548"/>
      <c r="T43" s="548">
        <f>SUMIF($D$5:$D$24,3,$U$5:$U$24)</f>
        <v>0</v>
      </c>
      <c r="U43" s="549">
        <f t="shared" si="30"/>
        <v>0</v>
      </c>
      <c r="V43" s="2"/>
      <c r="W43" s="2"/>
      <c r="X43" s="2"/>
    </row>
    <row r="44" spans="1:24" ht="28">
      <c r="A44" s="1635" t="s">
        <v>642</v>
      </c>
      <c r="B44" s="1636"/>
      <c r="C44" s="1636"/>
      <c r="D44" s="1645" t="s">
        <v>643</v>
      </c>
      <c r="E44" s="1645"/>
      <c r="F44" s="1645" t="s">
        <v>644</v>
      </c>
      <c r="G44" s="1645"/>
      <c r="H44" s="1645" t="s">
        <v>645</v>
      </c>
      <c r="I44" s="1645"/>
      <c r="J44" s="1645" t="s">
        <v>646</v>
      </c>
      <c r="K44" s="1645"/>
      <c r="L44" s="1645" t="s">
        <v>647</v>
      </c>
      <c r="M44" s="1645"/>
      <c r="N44" s="559" t="s">
        <v>648</v>
      </c>
      <c r="O44" s="553"/>
      <c r="P44" s="528"/>
      <c r="Q44" s="2"/>
      <c r="R44" s="1548" t="s">
        <v>625</v>
      </c>
      <c r="S44" s="1548"/>
      <c r="T44" s="548">
        <f>SUMIF($D$5:$D$24,4,$U$5:$U$24)</f>
        <v>0</v>
      </c>
      <c r="U44" s="549">
        <f t="shared" si="30"/>
        <v>0</v>
      </c>
      <c r="V44" s="2"/>
      <c r="W44" s="2"/>
      <c r="X44" s="2"/>
    </row>
    <row r="45" spans="1:24" ht="15" customHeight="1">
      <c r="A45" s="1649" t="s">
        <v>649</v>
      </c>
      <c r="B45" s="1650"/>
      <c r="C45" s="1650"/>
      <c r="D45" s="1634">
        <f>IF('Cash Flow'!D43+'Cash Flow'!D37+'Cash Flow'!D38&lt;0,-('Cash Flow'!D43+'Cash Flow'!D37+'Cash Flow'!D38),0)</f>
        <v>0</v>
      </c>
      <c r="E45" s="1634"/>
      <c r="F45" s="1634">
        <f>IF('Cash Flow'!E43+'Cash Flow'!E37+'Cash Flow'!E38&lt;0,-('Cash Flow'!E43+'Cash Flow'!E37+'Cash Flow'!E38),0)</f>
        <v>0</v>
      </c>
      <c r="G45" s="1634"/>
      <c r="H45" s="1634">
        <f>IF('Cash Flow'!F43+'Cash Flow'!F37+'Cash Flow'!F38&lt;0,-('Cash Flow'!F43+'Cash Flow'!F37+'Cash Flow'!F38),0)</f>
        <v>0</v>
      </c>
      <c r="I45" s="1634"/>
      <c r="J45" s="1634">
        <f>IF('Cash Flow'!G43+'Cash Flow'!G37+'Cash Flow'!G38&lt;0,-('Cash Flow'!G43+'Cash Flow'!G37+'Cash Flow'!G38),0)</f>
        <v>0</v>
      </c>
      <c r="K45" s="1634"/>
      <c r="L45" s="1634">
        <f>IF('Cash Flow'!H43+'Cash Flow'!H37+'Cash Flow'!H38&lt;0,-('Cash Flow'!H43+'Cash Flow'!H37+'Cash Flow'!H38),0)</f>
        <v>0</v>
      </c>
      <c r="M45" s="1634"/>
      <c r="N45" s="504">
        <f>SUM(D45:M45)</f>
        <v>0</v>
      </c>
      <c r="O45" s="562"/>
      <c r="P45" s="528"/>
      <c r="Q45" s="2"/>
      <c r="R45" s="1548" t="s">
        <v>628</v>
      </c>
      <c r="S45" s="1548"/>
      <c r="T45" s="548">
        <f>SUMIF($D$5:$D$24,5,$U$5:$U$24)</f>
        <v>0</v>
      </c>
      <c r="U45" s="549">
        <f t="shared" si="30"/>
        <v>0</v>
      </c>
      <c r="V45" s="2"/>
      <c r="W45" s="2"/>
      <c r="X45" s="2"/>
    </row>
    <row r="46" spans="1:24" ht="30" customHeight="1">
      <c r="A46" s="1637" t="s">
        <v>650</v>
      </c>
      <c r="B46" s="1638"/>
      <c r="C46" s="1638"/>
      <c r="D46" s="1638"/>
      <c r="E46" s="1638"/>
      <c r="F46" s="1638"/>
      <c r="G46" s="1638"/>
      <c r="H46" s="1638"/>
      <c r="I46" s="1638"/>
      <c r="J46" s="1638"/>
      <c r="K46" s="1638"/>
      <c r="L46" s="1638"/>
      <c r="M46" s="1638"/>
      <c r="N46" s="1639"/>
      <c r="O46" s="553"/>
      <c r="P46" s="528"/>
      <c r="Q46" s="2"/>
      <c r="R46" s="1555" t="s">
        <v>651</v>
      </c>
      <c r="S46" s="1555"/>
      <c r="T46" s="557">
        <f>SUM(T40:T45)</f>
        <v>0</v>
      </c>
      <c r="U46" s="558">
        <f t="shared" ref="U46" si="31">IFERROR(T46/$T$37,0)</f>
        <v>0</v>
      </c>
      <c r="V46" s="2"/>
      <c r="W46" s="2"/>
      <c r="X46" s="2"/>
    </row>
    <row r="47" spans="1:24" ht="30" customHeight="1">
      <c r="A47" s="1654" t="s">
        <v>152</v>
      </c>
      <c r="B47" s="1655"/>
      <c r="C47" s="1656" t="s">
        <v>652</v>
      </c>
      <c r="D47" s="1656"/>
      <c r="E47" s="1656"/>
      <c r="F47" s="1642" t="s">
        <v>653</v>
      </c>
      <c r="G47" s="1643"/>
      <c r="H47" s="1643"/>
      <c r="I47" s="1643"/>
      <c r="J47" s="1643"/>
      <c r="K47" s="1644"/>
      <c r="L47" s="1640" t="s">
        <v>112</v>
      </c>
      <c r="M47" s="1641"/>
      <c r="N47" s="457"/>
      <c r="O47" s="563"/>
      <c r="P47" s="528"/>
      <c r="Q47" s="2"/>
      <c r="R47" s="2"/>
      <c r="S47" s="2"/>
      <c r="T47" s="2"/>
      <c r="U47" s="2"/>
      <c r="V47" s="2"/>
      <c r="W47" s="2"/>
      <c r="X47" s="2"/>
    </row>
    <row r="48" spans="1:24" s="24" customFormat="1" ht="18" customHeight="1" thickBot="1">
      <c r="A48" s="1625" t="s">
        <v>654</v>
      </c>
      <c r="B48" s="1626"/>
      <c r="C48" s="1626"/>
      <c r="D48" s="1626"/>
      <c r="E48" s="1626"/>
      <c r="F48" s="1626"/>
      <c r="G48" s="1626"/>
      <c r="H48" s="1626"/>
      <c r="I48" s="1626"/>
      <c r="J48" s="1626"/>
      <c r="K48" s="1626"/>
      <c r="L48" s="1626"/>
      <c r="M48" s="1627"/>
      <c r="N48" s="461">
        <f>IF(Overview!AK129="No",0,MIN(MAX(N41,N42),N45))</f>
        <v>0</v>
      </c>
      <c r="O48" s="471"/>
      <c r="P48" s="464">
        <f>MIN(N48,O48)</f>
        <v>0</v>
      </c>
      <c r="Q48" s="2"/>
      <c r="R48" s="2"/>
      <c r="S48" s="2"/>
      <c r="T48" s="2"/>
      <c r="U48" s="2"/>
    </row>
    <row r="49" spans="1:21" s="20" customFormat="1" ht="14">
      <c r="A49" s="1571" t="s">
        <v>655</v>
      </c>
      <c r="B49" s="1572"/>
      <c r="C49" s="1572"/>
      <c r="D49" s="1572"/>
      <c r="E49" s="1572"/>
      <c r="F49" s="1572"/>
      <c r="G49" s="1572"/>
      <c r="H49" s="1572"/>
      <c r="I49" s="1572"/>
      <c r="J49" s="1572"/>
      <c r="K49" s="1572"/>
      <c r="L49" s="1572"/>
      <c r="M49" s="1572"/>
      <c r="N49" s="564">
        <f>IF(Overview!AK128="No",0,'Dev Budget'!L31*0.5)</f>
        <v>0</v>
      </c>
      <c r="O49" s="470"/>
      <c r="P49" s="453">
        <f t="shared" ref="P49:P51" si="32">MIN(N49,O49)</f>
        <v>0</v>
      </c>
      <c r="Q49" s="2"/>
      <c r="R49" s="24"/>
      <c r="S49" s="24"/>
      <c r="T49" s="24"/>
      <c r="U49" s="24"/>
    </row>
    <row r="50" spans="1:21" s="20" customFormat="1" ht="14">
      <c r="A50" s="1556" t="s">
        <v>656</v>
      </c>
      <c r="B50" s="1557"/>
      <c r="C50" s="1557"/>
      <c r="D50" s="1557"/>
      <c r="E50" s="1557"/>
      <c r="F50" s="1557"/>
      <c r="G50" s="1557"/>
      <c r="H50" s="1557"/>
      <c r="I50" s="1557"/>
      <c r="J50" s="1557"/>
      <c r="K50" s="1557"/>
      <c r="L50" s="1557"/>
      <c r="M50" s="565"/>
      <c r="N50" s="455">
        <f>IF(M50="Yes",U25*10000,0)</f>
        <v>0</v>
      </c>
      <c r="O50" s="469"/>
      <c r="P50" s="453">
        <f t="shared" si="32"/>
        <v>0</v>
      </c>
      <c r="Q50" s="2"/>
      <c r="R50" s="2"/>
      <c r="S50" s="2"/>
      <c r="T50" s="2"/>
      <c r="U50" s="2"/>
    </row>
    <row r="51" spans="1:21" ht="30" customHeight="1">
      <c r="A51" s="1558" t="s">
        <v>657</v>
      </c>
      <c r="B51" s="1559"/>
      <c r="C51" s="1559"/>
      <c r="D51" s="1559"/>
      <c r="E51" s="1559"/>
      <c r="F51" s="1559"/>
      <c r="G51" s="1559"/>
      <c r="H51" s="1559"/>
      <c r="I51" s="1559"/>
      <c r="J51" s="1559"/>
      <c r="K51" s="1559"/>
      <c r="L51" s="1559"/>
      <c r="M51" s="565"/>
      <c r="N51" s="455">
        <f>IF(M51="Yes",U25*10000,0)</f>
        <v>0</v>
      </c>
      <c r="O51" s="469"/>
      <c r="P51" s="453">
        <f t="shared" si="32"/>
        <v>0</v>
      </c>
      <c r="Q51" s="2"/>
      <c r="R51" s="2"/>
      <c r="S51" s="2"/>
      <c r="T51" s="2"/>
      <c r="U51" s="2"/>
    </row>
    <row r="52" spans="1:21" ht="18" customHeight="1" thickBot="1">
      <c r="A52" s="1550" t="s">
        <v>658</v>
      </c>
      <c r="B52" s="1551"/>
      <c r="C52" s="1551"/>
      <c r="D52" s="1551"/>
      <c r="E52" s="1551"/>
      <c r="F52" s="1551"/>
      <c r="G52" s="1551"/>
      <c r="H52" s="1551"/>
      <c r="I52" s="1551"/>
      <c r="J52" s="1551"/>
      <c r="K52" s="1551"/>
      <c r="L52" s="1551"/>
      <c r="M52" s="1551"/>
      <c r="N52" s="456">
        <f>SUM(N49:N51)</f>
        <v>0</v>
      </c>
      <c r="O52" s="465">
        <f>SUM(O49:O51)</f>
        <v>0</v>
      </c>
      <c r="P52" s="466">
        <f>SUM(P49:P51)</f>
        <v>0</v>
      </c>
      <c r="Q52" s="2"/>
      <c r="R52" s="2"/>
      <c r="S52" s="2"/>
      <c r="T52" s="2"/>
      <c r="U52" s="2"/>
    </row>
    <row r="53" spans="1:21" ht="18" customHeight="1" thickBot="1">
      <c r="A53" s="1625" t="s">
        <v>659</v>
      </c>
      <c r="B53" s="1626"/>
      <c r="C53" s="1626"/>
      <c r="D53" s="1626"/>
      <c r="E53" s="1626"/>
      <c r="F53" s="1626"/>
      <c r="G53" s="1626"/>
      <c r="H53" s="1626"/>
      <c r="I53" s="1626"/>
      <c r="J53" s="1626"/>
      <c r="K53" s="1626"/>
      <c r="L53" s="1626"/>
      <c r="M53" s="1627"/>
      <c r="N53" s="461">
        <f>N34+N52+N48</f>
        <v>0</v>
      </c>
      <c r="O53" s="462">
        <f>O34+O52+O48</f>
        <v>0</v>
      </c>
      <c r="P53" s="464">
        <f>P34+P52+P48</f>
        <v>0</v>
      </c>
      <c r="Q53" s="2"/>
      <c r="R53" s="2"/>
      <c r="S53" s="2"/>
      <c r="T53" s="2"/>
      <c r="U53" s="2"/>
    </row>
  </sheetData>
  <sheetProtection algorithmName="SHA-512" hashValue="TdtUtZIqt5AkvFLesVQ7HrHzLfeLiPvMf8MQnZZgUfxCB2Jq5TkrV0889uGXYI61rR1CYEbM4dcgOhzD1zqSYw==" saltValue="/vQNxevuBL5uPgZdp2yiWA==" spinCount="100000" sheet="1" formatCells="0" formatRows="0"/>
  <dataConsolidate/>
  <mergeCells count="89">
    <mergeCell ref="A47:B47"/>
    <mergeCell ref="C47:E47"/>
    <mergeCell ref="F44:G44"/>
    <mergeCell ref="F45:G45"/>
    <mergeCell ref="A42:D42"/>
    <mergeCell ref="D44:E44"/>
    <mergeCell ref="K38:L38"/>
    <mergeCell ref="F27:K27"/>
    <mergeCell ref="L27:M27"/>
    <mergeCell ref="J44:K44"/>
    <mergeCell ref="J45:K45"/>
    <mergeCell ref="H42:I42"/>
    <mergeCell ref="K41:L41"/>
    <mergeCell ref="K42:L42"/>
    <mergeCell ref="L44:M44"/>
    <mergeCell ref="H41:I41"/>
    <mergeCell ref="E42:G42"/>
    <mergeCell ref="A53:M53"/>
    <mergeCell ref="A30:B30"/>
    <mergeCell ref="C30:E30"/>
    <mergeCell ref="F30:K30"/>
    <mergeCell ref="L30:M30"/>
    <mergeCell ref="D45:E45"/>
    <mergeCell ref="A44:C44"/>
    <mergeCell ref="A48:M48"/>
    <mergeCell ref="A46:N46"/>
    <mergeCell ref="L47:M47"/>
    <mergeCell ref="F47:K47"/>
    <mergeCell ref="H44:I44"/>
    <mergeCell ref="H45:I45"/>
    <mergeCell ref="A40:M40"/>
    <mergeCell ref="A45:C45"/>
    <mergeCell ref="L45:M45"/>
    <mergeCell ref="D3:H3"/>
    <mergeCell ref="Q3:U3"/>
    <mergeCell ref="A37:I37"/>
    <mergeCell ref="AQ3:AR3"/>
    <mergeCell ref="M3:N3"/>
    <mergeCell ref="O3:P3"/>
    <mergeCell ref="V3:AK3"/>
    <mergeCell ref="AD26:AF26"/>
    <mergeCell ref="R34:S34"/>
    <mergeCell ref="R35:S35"/>
    <mergeCell ref="I25:K25"/>
    <mergeCell ref="I3:K3"/>
    <mergeCell ref="V26:Z26"/>
    <mergeCell ref="A35:G35"/>
    <mergeCell ref="H35:I35"/>
    <mergeCell ref="A36:M36"/>
    <mergeCell ref="A49:M49"/>
    <mergeCell ref="A1:U1"/>
    <mergeCell ref="A41:D41"/>
    <mergeCell ref="E41:G41"/>
    <mergeCell ref="A2:C2"/>
    <mergeCell ref="A33:M33"/>
    <mergeCell ref="A34:M34"/>
    <mergeCell ref="A26:D26"/>
    <mergeCell ref="A32:E32"/>
    <mergeCell ref="F32:M32"/>
    <mergeCell ref="J35:M35"/>
    <mergeCell ref="D2:U2"/>
    <mergeCell ref="L26:M26"/>
    <mergeCell ref="E26:H26"/>
    <mergeCell ref="R33:S33"/>
    <mergeCell ref="K37:L37"/>
    <mergeCell ref="A52:M52"/>
    <mergeCell ref="A27:B27"/>
    <mergeCell ref="C27:E27"/>
    <mergeCell ref="R36:S36"/>
    <mergeCell ref="R37:S37"/>
    <mergeCell ref="R44:S44"/>
    <mergeCell ref="R45:S45"/>
    <mergeCell ref="R46:S46"/>
    <mergeCell ref="A50:L50"/>
    <mergeCell ref="A51:L51"/>
    <mergeCell ref="A31:M31"/>
    <mergeCell ref="A38:I38"/>
    <mergeCell ref="A39:M39"/>
    <mergeCell ref="A29:P29"/>
    <mergeCell ref="O30:P30"/>
    <mergeCell ref="A43:M43"/>
    <mergeCell ref="R40:S40"/>
    <mergeCell ref="R41:S41"/>
    <mergeCell ref="R42:S42"/>
    <mergeCell ref="R43:S43"/>
    <mergeCell ref="R30:U30"/>
    <mergeCell ref="R39:U39"/>
    <mergeCell ref="R31:S31"/>
    <mergeCell ref="R32:S32"/>
  </mergeCells>
  <conditionalFormatting sqref="K6:K11">
    <cfRule type="expression" dxfId="45" priority="16">
      <formula>#REF!&lt;&gt;"Rental"</formula>
    </cfRule>
  </conditionalFormatting>
  <conditionalFormatting sqref="H5:H24">
    <cfRule type="expression" dxfId="44" priority="19">
      <formula>H5&gt;E5</formula>
    </cfRule>
  </conditionalFormatting>
  <conditionalFormatting sqref="U5:U24">
    <cfRule type="cellIs" dxfId="43" priority="6" operator="greaterThan">
      <formula>E5</formula>
    </cfRule>
  </conditionalFormatting>
  <conditionalFormatting sqref="Q5:Q24">
    <cfRule type="expression" dxfId="42" priority="4">
      <formula>AND(G5&lt;&gt;0.15,G5&lt;&gt;0.2,G5&lt;&gt;0.25,G5&lt;&gt;0.3)</formula>
    </cfRule>
  </conditionalFormatting>
  <conditionalFormatting sqref="R5:R24">
    <cfRule type="expression" dxfId="41" priority="3">
      <formula>AND(G5&lt;&gt;0.15,G5&lt;&gt;0.2,G5&lt;&gt;0.25,G5&lt;&gt;0.3)</formula>
    </cfRule>
  </conditionalFormatting>
  <conditionalFormatting sqref="S5:S24">
    <cfRule type="expression" dxfId="40" priority="2">
      <formula>AND(G5&lt;&gt;0.15,G5&lt;&gt;0.2,G5&lt;&gt;0.25,G5&lt;&gt;0.3)</formula>
    </cfRule>
  </conditionalFormatting>
  <conditionalFormatting sqref="T5:T24">
    <cfRule type="expression" dxfId="39" priority="1">
      <formula>AND(G5&lt;&gt;0.15,G5&lt;&gt;0.2,G5&lt;&gt;0.25,G5&lt;&gt;0.3)</formula>
    </cfRule>
  </conditionalFormatting>
  <dataValidations count="9">
    <dataValidation type="list" allowBlank="1" showInputMessage="1" showErrorMessage="1" sqref="A5:A24 D5:D24" xr:uid="{A409D2C1-B2F6-4A1C-9A3D-A2AC5328E0A9}">
      <formula1>"0,1,2,3,4,5"</formula1>
    </dataValidation>
    <dataValidation type="list" allowBlank="1" showInputMessage="1" showErrorMessage="1" sqref="J41:J42" xr:uid="{AEE6D189-7CCE-499D-861C-F626CB649FF0}">
      <formula1>"1,2,3,4,5,6,7,8,9,10,11,12,13,14,15"</formula1>
    </dataValidation>
    <dataValidation type="list" allowBlank="1" showInputMessage="1" showErrorMessage="1" sqref="N30 N27 N47 N49:N51" xr:uid="{62675770-C4C9-4A85-B160-69C12D3CE98D}">
      <formula1>"Yes, No"</formula1>
    </dataValidation>
    <dataValidation type="list" allowBlank="1" showInputMessage="1" showErrorMessage="1" sqref="M50:M51" xr:uid="{BBB14A88-F40C-43DC-968A-0A623BADB129}">
      <formula1>"Yes,No"</formula1>
    </dataValidation>
    <dataValidation type="custom" allowBlank="1" showInputMessage="1" showErrorMessage="1" errorTitle="Excess Request" error="Request amount cannot exceed HCD amount." promptTitle="Amount cannot exceed HCD amount" prompt="Requested amount must be less than or equal to HCD amount." sqref="O32:O33 O49:O51 O48" xr:uid="{9647DACF-B013-428D-BC98-6189B2561A7C}">
      <formula1>O32&lt;=N32</formula1>
    </dataValidation>
    <dataValidation type="custom" showInputMessage="1" showErrorMessage="1" promptTitle="AMI must be between 15-30%" prompt="Homekey Assisted Units must have an AMI restriction in column G of between 15% and 30%. " sqref="Q5:Q24" xr:uid="{AAFC556C-F0BF-4F03-95D2-D3F8E990B77F}">
      <formula1>OR(G5=0.15,G5=0.2,G5=0.25,G5=0.3)</formula1>
    </dataValidation>
    <dataValidation type="custom" showInputMessage="1" showErrorMessage="1" promptTitle="AMI must be between 15-30%" prompt="Homekey Assisted Units must have an AMI restriction in column G of between 15% and 30%." sqref="R5:R24" xr:uid="{E3C8A1B9-F937-4BF4-87EB-C9302DFFF65A}">
      <formula1>OR(G5=0.15,G5=0.2,G5=0.25,G5=0.3)</formula1>
    </dataValidation>
    <dataValidation type="custom" showInputMessage="1" showErrorMessage="1" promptTitle="AMI must be between 15-30%" prompt="Homekey Assisted Units must have an AMI restriction in column G of between 15% and 30%." sqref="S5:S24" xr:uid="{377BF2F9-CAFF-42CA-A8A8-56733D1D4F21}">
      <formula1>OR(G5=0.15,G5=0.2,G5=0.25,G5=0.3)</formula1>
    </dataValidation>
    <dataValidation type="custom" showInputMessage="1" showErrorMessage="1" promptTitle="AMI must be between 15-30%" prompt="Homekey Assisted Units must have an AMI restriction in column G of between 15% and 30%." sqref="T5:T24" xr:uid="{DFA2DB69-36B6-41CF-AA95-9F9EBA2CD841}">
      <formula1>OR(G5=0.15,G5=0.2,G5=0.25,G5=0.3)</formula1>
    </dataValidation>
  </dataValidations>
  <hyperlinks>
    <hyperlink ref="F47:J47" r:id="rId1" display="A letter template and a list of potential Homekey complementary funding can be found on the Homekey webpage." xr:uid="{6941A74C-0C83-4F5D-836F-45D01E3F64C6}"/>
  </hyperlinks>
  <printOptions horizontalCentered="1"/>
  <pageMargins left="0.25" right="0.25" top="0.5" bottom="0.3" header="0" footer="0"/>
  <pageSetup paperSize="5" scale="39" firstPageNumber="2" orientation="landscape" horizontalDpi="300" verticalDpi="300" r:id="rId2"/>
  <headerFooter scaleWithDoc="0" alignWithMargins="0">
    <oddFooter>&amp;L&amp;9Homekey Round 2&amp;C&amp;9Page &amp;P of &amp;N&amp;R&amp;"Arial,Italic"&amp;9&amp;A</oddFooter>
  </headerFooter>
  <legacyDrawing r:id="rId3"/>
  <extLst>
    <ext xmlns:x14="http://schemas.microsoft.com/office/spreadsheetml/2009/9/main" uri="{78C0D931-6437-407d-A8EE-F0AAD7539E65}">
      <x14:conditionalFormattings>
        <x14:conditionalFormatting xmlns:xm="http://schemas.microsoft.com/office/excel/2006/main">
          <x14:cfRule type="expression" priority="17" id="{00000000-000E-0000-0700-00000D000000}">
            <xm:f>OR(AND(G5&lt;&gt;"None",G5&lt;&gt;""),Overview!$S$35&lt;&gt;"Permanent Housing")</xm:f>
            <x14:dxf>
              <fill>
                <patternFill>
                  <bgColor theme="0"/>
                </patternFill>
              </fill>
            </x14:dxf>
          </x14:cfRule>
          <xm:sqref>K5:K24</xm:sqref>
        </x14:conditionalFormatting>
        <x14:conditionalFormatting xmlns:xm="http://schemas.microsoft.com/office/excel/2006/main">
          <x14:cfRule type="expression" priority="11" id="{7869380C-B56F-45B0-949A-3493EC02E079}">
            <xm:f>OR(G5="None",G5="",Overview!$S$35&lt;&gt;"Permanent Housing")</xm:f>
            <x14:dxf>
              <fill>
                <patternFill>
                  <bgColor theme="0"/>
                </patternFill>
              </fill>
            </x14:dxf>
          </x14:cfRule>
          <xm:sqref>J5:J24</xm:sqref>
        </x14:conditionalFormatting>
        <x14:conditionalFormatting xmlns:xm="http://schemas.microsoft.com/office/excel/2006/main">
          <x14:cfRule type="expression" priority="10" id="{C118B46B-2143-4D00-8F9F-518B233F049D}">
            <xm:f>Overview!$S$35="Interim Housing"</xm:f>
            <x14:dxf>
              <fill>
                <patternFill>
                  <bgColor theme="0"/>
                </patternFill>
              </fill>
            </x14:dxf>
          </x14:cfRule>
          <xm:sqref>G5:G24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AE47174-3872-4DAE-B840-20B127E626FB}">
          <x14:formula1>
            <xm:f>'Drop Down'!$F$3:$F$21</xm:f>
          </x14:formula1>
          <xm:sqref>G5:G24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E9888-1DF7-4214-B89C-654FF99EF26C}">
  <sheetPr codeName="Sheet31"/>
  <dimension ref="A1:I59"/>
  <sheetViews>
    <sheetView workbookViewId="0"/>
  </sheetViews>
  <sheetFormatPr defaultColWidth="9.1796875" defaultRowHeight="12.5"/>
  <cols>
    <col min="1" max="16384" width="9.1796875" style="75"/>
  </cols>
  <sheetData>
    <row r="1" spans="1:9">
      <c r="A1" s="75" t="s">
        <v>660</v>
      </c>
      <c r="B1" s="75" t="s">
        <v>661</v>
      </c>
      <c r="C1" s="75" t="s">
        <v>662</v>
      </c>
      <c r="D1" s="75" t="s">
        <v>663</v>
      </c>
      <c r="E1" s="75" t="s">
        <v>664</v>
      </c>
      <c r="F1" s="75" t="s">
        <v>665</v>
      </c>
      <c r="G1" s="75" t="s">
        <v>666</v>
      </c>
      <c r="H1" s="75" t="s">
        <v>667</v>
      </c>
      <c r="I1" s="75" t="s">
        <v>668</v>
      </c>
    </row>
    <row r="2" spans="1:9">
      <c r="A2" s="75" t="s">
        <v>669</v>
      </c>
      <c r="B2" s="75">
        <v>47950</v>
      </c>
      <c r="C2" s="75">
        <v>54800</v>
      </c>
      <c r="D2" s="75">
        <v>61650</v>
      </c>
      <c r="E2" s="75">
        <v>68500</v>
      </c>
      <c r="F2" s="75">
        <v>74000</v>
      </c>
      <c r="G2" s="75">
        <v>79500</v>
      </c>
      <c r="H2" s="75">
        <v>84950</v>
      </c>
      <c r="I2" s="75">
        <v>90450</v>
      </c>
    </row>
    <row r="3" spans="1:9">
      <c r="A3" s="75" t="s">
        <v>670</v>
      </c>
      <c r="B3" s="75">
        <v>28450</v>
      </c>
      <c r="C3" s="75">
        <v>32500</v>
      </c>
      <c r="D3" s="75">
        <v>36550</v>
      </c>
      <c r="E3" s="75">
        <v>40600</v>
      </c>
      <c r="F3" s="75">
        <v>43850</v>
      </c>
      <c r="G3" s="75">
        <v>47100</v>
      </c>
      <c r="H3" s="75">
        <v>50350</v>
      </c>
      <c r="I3" s="75">
        <v>53600</v>
      </c>
    </row>
    <row r="4" spans="1:9">
      <c r="A4" s="75" t="s">
        <v>671</v>
      </c>
      <c r="B4" s="75">
        <v>27300</v>
      </c>
      <c r="C4" s="75">
        <v>31200</v>
      </c>
      <c r="D4" s="75">
        <v>35100</v>
      </c>
      <c r="E4" s="75">
        <v>38950</v>
      </c>
      <c r="F4" s="75">
        <v>42100</v>
      </c>
      <c r="G4" s="75">
        <v>45200</v>
      </c>
      <c r="H4" s="75">
        <v>48300</v>
      </c>
      <c r="I4" s="75">
        <v>51450</v>
      </c>
    </row>
    <row r="5" spans="1:9">
      <c r="A5" s="75" t="s">
        <v>672</v>
      </c>
      <c r="B5" s="75">
        <v>24400</v>
      </c>
      <c r="C5" s="75">
        <v>27900</v>
      </c>
      <c r="D5" s="75">
        <v>31400</v>
      </c>
      <c r="E5" s="75">
        <v>34850</v>
      </c>
      <c r="F5" s="75">
        <v>37650</v>
      </c>
      <c r="G5" s="75">
        <v>40450</v>
      </c>
      <c r="H5" s="75">
        <v>43250</v>
      </c>
      <c r="I5" s="75">
        <v>46050</v>
      </c>
    </row>
    <row r="6" spans="1:9">
      <c r="A6" s="75" t="s">
        <v>673</v>
      </c>
      <c r="B6" s="75">
        <v>28600</v>
      </c>
      <c r="C6" s="75">
        <v>32700</v>
      </c>
      <c r="D6" s="75">
        <v>36800</v>
      </c>
      <c r="E6" s="75">
        <v>40850</v>
      </c>
      <c r="F6" s="75">
        <v>44150</v>
      </c>
      <c r="G6" s="75">
        <v>47400</v>
      </c>
      <c r="H6" s="75">
        <v>50700</v>
      </c>
      <c r="I6" s="75">
        <v>53950</v>
      </c>
    </row>
    <row r="7" spans="1:9">
      <c r="A7" s="75" t="s">
        <v>674</v>
      </c>
      <c r="B7" s="75">
        <v>24400</v>
      </c>
      <c r="C7" s="75">
        <v>27900</v>
      </c>
      <c r="D7" s="75">
        <v>31400</v>
      </c>
      <c r="E7" s="75">
        <v>34850</v>
      </c>
      <c r="F7" s="75">
        <v>37650</v>
      </c>
      <c r="G7" s="75">
        <v>40450</v>
      </c>
      <c r="H7" s="75">
        <v>43250</v>
      </c>
      <c r="I7" s="75">
        <v>46050</v>
      </c>
    </row>
    <row r="8" spans="1:9">
      <c r="A8" s="75" t="s">
        <v>675</v>
      </c>
      <c r="B8" s="75">
        <v>47950</v>
      </c>
      <c r="C8" s="75">
        <v>54800</v>
      </c>
      <c r="D8" s="75">
        <v>61650</v>
      </c>
      <c r="E8" s="75">
        <v>68500</v>
      </c>
      <c r="F8" s="75">
        <v>74000</v>
      </c>
      <c r="G8" s="75">
        <v>79500</v>
      </c>
      <c r="H8" s="75">
        <v>84950</v>
      </c>
      <c r="I8" s="75">
        <v>90450</v>
      </c>
    </row>
    <row r="9" spans="1:9">
      <c r="A9" s="75" t="s">
        <v>676</v>
      </c>
      <c r="B9" s="75">
        <v>24400</v>
      </c>
      <c r="C9" s="75">
        <v>27900</v>
      </c>
      <c r="D9" s="75">
        <v>31400</v>
      </c>
      <c r="E9" s="75">
        <v>34850</v>
      </c>
      <c r="F9" s="75">
        <v>37650</v>
      </c>
      <c r="G9" s="75">
        <v>40450</v>
      </c>
      <c r="H9" s="75">
        <v>43250</v>
      </c>
      <c r="I9" s="75">
        <v>46050</v>
      </c>
    </row>
    <row r="10" spans="1:9">
      <c r="A10" s="75" t="s">
        <v>677</v>
      </c>
      <c r="B10" s="75">
        <v>31750</v>
      </c>
      <c r="C10" s="75">
        <v>36250</v>
      </c>
      <c r="D10" s="75">
        <v>40800</v>
      </c>
      <c r="E10" s="75">
        <v>45300</v>
      </c>
      <c r="F10" s="75">
        <v>48950</v>
      </c>
      <c r="G10" s="75">
        <v>52550</v>
      </c>
      <c r="H10" s="75">
        <v>56200</v>
      </c>
      <c r="I10" s="75">
        <v>59800</v>
      </c>
    </row>
    <row r="11" spans="1:9">
      <c r="A11" s="75" t="s">
        <v>678</v>
      </c>
      <c r="B11" s="75">
        <v>24400</v>
      </c>
      <c r="C11" s="75">
        <v>27900</v>
      </c>
      <c r="D11" s="75">
        <v>31400</v>
      </c>
      <c r="E11" s="75">
        <v>34850</v>
      </c>
      <c r="F11" s="75">
        <v>37650</v>
      </c>
      <c r="G11" s="75">
        <v>40450</v>
      </c>
      <c r="H11" s="75">
        <v>43250</v>
      </c>
      <c r="I11" s="75">
        <v>46050</v>
      </c>
    </row>
    <row r="12" spans="1:9">
      <c r="A12" s="75" t="s">
        <v>679</v>
      </c>
      <c r="B12" s="75">
        <v>24400</v>
      </c>
      <c r="C12" s="75">
        <v>27900</v>
      </c>
      <c r="D12" s="75">
        <v>31400</v>
      </c>
      <c r="E12" s="75">
        <v>34850</v>
      </c>
      <c r="F12" s="75">
        <v>37650</v>
      </c>
      <c r="G12" s="75">
        <v>40450</v>
      </c>
      <c r="H12" s="75">
        <v>43250</v>
      </c>
      <c r="I12" s="75">
        <v>46050</v>
      </c>
    </row>
    <row r="13" spans="1:9">
      <c r="A13" s="75" t="s">
        <v>680</v>
      </c>
      <c r="B13" s="75">
        <v>24400</v>
      </c>
      <c r="C13" s="75">
        <v>27900</v>
      </c>
      <c r="D13" s="75">
        <v>31400</v>
      </c>
      <c r="E13" s="75">
        <v>34850</v>
      </c>
      <c r="F13" s="75">
        <v>37650</v>
      </c>
      <c r="G13" s="75">
        <v>40450</v>
      </c>
      <c r="H13" s="75">
        <v>43250</v>
      </c>
      <c r="I13" s="75">
        <v>46050</v>
      </c>
    </row>
    <row r="14" spans="1:9">
      <c r="A14" s="75" t="s">
        <v>681</v>
      </c>
      <c r="B14" s="75">
        <v>24400</v>
      </c>
      <c r="C14" s="75">
        <v>27900</v>
      </c>
      <c r="D14" s="75">
        <v>31400</v>
      </c>
      <c r="E14" s="75">
        <v>34850</v>
      </c>
      <c r="F14" s="75">
        <v>37650</v>
      </c>
      <c r="G14" s="75">
        <v>40450</v>
      </c>
      <c r="H14" s="75">
        <v>43250</v>
      </c>
      <c r="I14" s="75">
        <v>46050</v>
      </c>
    </row>
    <row r="15" spans="1:9">
      <c r="A15" s="75" t="s">
        <v>682</v>
      </c>
      <c r="B15" s="75">
        <v>25950</v>
      </c>
      <c r="C15" s="75">
        <v>29650</v>
      </c>
      <c r="D15" s="75">
        <v>33350</v>
      </c>
      <c r="E15" s="75">
        <v>37050</v>
      </c>
      <c r="F15" s="75">
        <v>40050</v>
      </c>
      <c r="G15" s="75">
        <v>43000</v>
      </c>
      <c r="H15" s="75">
        <v>45950</v>
      </c>
      <c r="I15" s="75">
        <v>48950</v>
      </c>
    </row>
    <row r="16" spans="1:9">
      <c r="A16" s="75" t="s">
        <v>683</v>
      </c>
      <c r="B16" s="75">
        <v>24400</v>
      </c>
      <c r="C16" s="75">
        <v>27900</v>
      </c>
      <c r="D16" s="75">
        <v>31400</v>
      </c>
      <c r="E16" s="75">
        <v>34850</v>
      </c>
      <c r="F16" s="75">
        <v>37650</v>
      </c>
      <c r="G16" s="75">
        <v>40450</v>
      </c>
      <c r="H16" s="75">
        <v>43250</v>
      </c>
      <c r="I16" s="75">
        <v>46050</v>
      </c>
    </row>
    <row r="17" spans="1:9">
      <c r="A17" s="75" t="s">
        <v>684</v>
      </c>
      <c r="B17" s="75">
        <v>24400</v>
      </c>
      <c r="C17" s="75">
        <v>27900</v>
      </c>
      <c r="D17" s="75">
        <v>31400</v>
      </c>
      <c r="E17" s="75">
        <v>34850</v>
      </c>
      <c r="F17" s="75">
        <v>37650</v>
      </c>
      <c r="G17" s="75">
        <v>40450</v>
      </c>
      <c r="H17" s="75">
        <v>43250</v>
      </c>
      <c r="I17" s="75">
        <v>46050</v>
      </c>
    </row>
    <row r="18" spans="1:9">
      <c r="A18" s="75" t="s">
        <v>685</v>
      </c>
      <c r="B18" s="75">
        <v>24400</v>
      </c>
      <c r="C18" s="75">
        <v>27900</v>
      </c>
      <c r="D18" s="75">
        <v>31400</v>
      </c>
      <c r="E18" s="75">
        <v>34850</v>
      </c>
      <c r="F18" s="75">
        <v>37650</v>
      </c>
      <c r="G18" s="75">
        <v>40450</v>
      </c>
      <c r="H18" s="75">
        <v>43250</v>
      </c>
      <c r="I18" s="75">
        <v>46050</v>
      </c>
    </row>
    <row r="19" spans="1:9">
      <c r="A19" s="75" t="s">
        <v>686</v>
      </c>
      <c r="B19" s="75">
        <v>25300</v>
      </c>
      <c r="C19" s="75">
        <v>28900</v>
      </c>
      <c r="D19" s="75">
        <v>32500</v>
      </c>
      <c r="E19" s="75">
        <v>36100</v>
      </c>
      <c r="F19" s="75">
        <v>39000</v>
      </c>
      <c r="G19" s="75">
        <v>41900</v>
      </c>
      <c r="H19" s="75">
        <v>44800</v>
      </c>
      <c r="I19" s="75">
        <v>47700</v>
      </c>
    </row>
    <row r="20" spans="1:9">
      <c r="A20" s="75" t="s">
        <v>687</v>
      </c>
      <c r="B20" s="75">
        <v>41400</v>
      </c>
      <c r="C20" s="75">
        <v>47300</v>
      </c>
      <c r="D20" s="75">
        <v>53200</v>
      </c>
      <c r="E20" s="75">
        <v>59100</v>
      </c>
      <c r="F20" s="75">
        <v>63850</v>
      </c>
      <c r="G20" s="75">
        <v>68600</v>
      </c>
      <c r="H20" s="75">
        <v>73300</v>
      </c>
      <c r="I20" s="75">
        <v>78050</v>
      </c>
    </row>
    <row r="21" spans="1:9">
      <c r="A21" s="75" t="s">
        <v>688</v>
      </c>
      <c r="B21" s="75">
        <v>24400</v>
      </c>
      <c r="C21" s="75">
        <v>27900</v>
      </c>
      <c r="D21" s="75">
        <v>31400</v>
      </c>
      <c r="E21" s="75">
        <v>34850</v>
      </c>
      <c r="F21" s="75">
        <v>37650</v>
      </c>
      <c r="G21" s="75">
        <v>40450</v>
      </c>
      <c r="H21" s="75">
        <v>43250</v>
      </c>
      <c r="I21" s="75">
        <v>46050</v>
      </c>
    </row>
    <row r="22" spans="1:9">
      <c r="A22" s="75" t="s">
        <v>689</v>
      </c>
      <c r="B22" s="75">
        <v>63950</v>
      </c>
      <c r="C22" s="75">
        <v>73100</v>
      </c>
      <c r="D22" s="75">
        <v>82250</v>
      </c>
      <c r="E22" s="75">
        <v>91350</v>
      </c>
      <c r="F22" s="75">
        <v>98700</v>
      </c>
      <c r="G22" s="75">
        <v>106000</v>
      </c>
      <c r="H22" s="75">
        <v>113300</v>
      </c>
      <c r="I22" s="75">
        <v>120600</v>
      </c>
    </row>
    <row r="23" spans="1:9">
      <c r="A23" s="75" t="s">
        <v>690</v>
      </c>
      <c r="B23" s="75">
        <v>24400</v>
      </c>
      <c r="C23" s="75">
        <v>27900</v>
      </c>
      <c r="D23" s="75">
        <v>31400</v>
      </c>
      <c r="E23" s="75">
        <v>34850</v>
      </c>
      <c r="F23" s="75">
        <v>37650</v>
      </c>
      <c r="G23" s="75">
        <v>40450</v>
      </c>
      <c r="H23" s="75">
        <v>43250</v>
      </c>
      <c r="I23" s="75">
        <v>46050</v>
      </c>
    </row>
    <row r="24" spans="1:9">
      <c r="A24" s="75" t="s">
        <v>691</v>
      </c>
      <c r="B24" s="75">
        <v>25350</v>
      </c>
      <c r="C24" s="75">
        <v>28950</v>
      </c>
      <c r="D24" s="75">
        <v>32550</v>
      </c>
      <c r="E24" s="75">
        <v>36150</v>
      </c>
      <c r="F24" s="75">
        <v>39050</v>
      </c>
      <c r="G24" s="75">
        <v>41950</v>
      </c>
      <c r="H24" s="75">
        <v>44850</v>
      </c>
      <c r="I24" s="75">
        <v>47750</v>
      </c>
    </row>
    <row r="25" spans="1:9">
      <c r="A25" s="75" t="s">
        <v>692</v>
      </c>
      <c r="B25" s="75">
        <v>24400</v>
      </c>
      <c r="C25" s="75">
        <v>27900</v>
      </c>
      <c r="D25" s="75">
        <v>31400</v>
      </c>
      <c r="E25" s="75">
        <v>34850</v>
      </c>
      <c r="F25" s="75">
        <v>37650</v>
      </c>
      <c r="G25" s="75">
        <v>40450</v>
      </c>
      <c r="H25" s="75">
        <v>43250</v>
      </c>
      <c r="I25" s="75">
        <v>46050</v>
      </c>
    </row>
    <row r="26" spans="1:9">
      <c r="A26" s="75" t="s">
        <v>693</v>
      </c>
      <c r="B26" s="75">
        <v>24400</v>
      </c>
      <c r="C26" s="75">
        <v>27900</v>
      </c>
      <c r="D26" s="75">
        <v>31400</v>
      </c>
      <c r="E26" s="75">
        <v>34850</v>
      </c>
      <c r="F26" s="75">
        <v>37650</v>
      </c>
      <c r="G26" s="75">
        <v>40450</v>
      </c>
      <c r="H26" s="75">
        <v>43250</v>
      </c>
      <c r="I26" s="75">
        <v>46050</v>
      </c>
    </row>
    <row r="27" spans="1:9">
      <c r="A27" s="75" t="s">
        <v>694</v>
      </c>
      <c r="B27" s="75">
        <v>27650</v>
      </c>
      <c r="C27" s="75">
        <v>31600</v>
      </c>
      <c r="D27" s="75">
        <v>35550</v>
      </c>
      <c r="E27" s="75">
        <v>39450</v>
      </c>
      <c r="F27" s="75">
        <v>42650</v>
      </c>
      <c r="G27" s="75">
        <v>45800</v>
      </c>
      <c r="H27" s="75">
        <v>48950</v>
      </c>
      <c r="I27" s="75">
        <v>52100</v>
      </c>
    </row>
    <row r="28" spans="1:9">
      <c r="A28" s="75" t="s">
        <v>695</v>
      </c>
      <c r="B28" s="75">
        <v>35600</v>
      </c>
      <c r="C28" s="75">
        <v>40700</v>
      </c>
      <c r="D28" s="75">
        <v>45800</v>
      </c>
      <c r="E28" s="75">
        <v>50850</v>
      </c>
      <c r="F28" s="75">
        <v>54950</v>
      </c>
      <c r="G28" s="75">
        <v>59000</v>
      </c>
      <c r="H28" s="75">
        <v>63100</v>
      </c>
      <c r="I28" s="75">
        <v>67150</v>
      </c>
    </row>
    <row r="29" spans="1:9">
      <c r="A29" s="75" t="s">
        <v>696</v>
      </c>
      <c r="B29" s="75">
        <v>39800</v>
      </c>
      <c r="C29" s="75">
        <v>45500</v>
      </c>
      <c r="D29" s="75">
        <v>51200</v>
      </c>
      <c r="E29" s="75">
        <v>56850</v>
      </c>
      <c r="F29" s="75">
        <v>61400</v>
      </c>
      <c r="G29" s="75">
        <v>65950</v>
      </c>
      <c r="H29" s="75">
        <v>70500</v>
      </c>
      <c r="I29" s="75">
        <v>75050</v>
      </c>
    </row>
    <row r="30" spans="1:9">
      <c r="A30" s="75" t="s">
        <v>697</v>
      </c>
      <c r="B30" s="75">
        <v>31450</v>
      </c>
      <c r="C30" s="75">
        <v>35950</v>
      </c>
      <c r="D30" s="75">
        <v>40450</v>
      </c>
      <c r="E30" s="75">
        <v>44900</v>
      </c>
      <c r="F30" s="75">
        <v>48500</v>
      </c>
      <c r="G30" s="75">
        <v>52100</v>
      </c>
      <c r="H30" s="75">
        <v>55700</v>
      </c>
      <c r="I30" s="75">
        <v>59300</v>
      </c>
    </row>
    <row r="31" spans="1:9">
      <c r="A31" s="75" t="s">
        <v>698</v>
      </c>
      <c r="B31" s="75">
        <v>47100</v>
      </c>
      <c r="C31" s="75">
        <v>53800</v>
      </c>
      <c r="D31" s="75">
        <v>60550</v>
      </c>
      <c r="E31" s="75">
        <v>67250</v>
      </c>
      <c r="F31" s="75">
        <v>72650</v>
      </c>
      <c r="G31" s="75">
        <v>78050</v>
      </c>
      <c r="H31" s="75">
        <v>83400</v>
      </c>
      <c r="I31" s="75">
        <v>88800</v>
      </c>
    </row>
    <row r="32" spans="1:9">
      <c r="A32" s="75" t="s">
        <v>699</v>
      </c>
      <c r="B32" s="75">
        <v>31750</v>
      </c>
      <c r="C32" s="75">
        <v>36250</v>
      </c>
      <c r="D32" s="75">
        <v>40800</v>
      </c>
      <c r="E32" s="75">
        <v>45300</v>
      </c>
      <c r="F32" s="75">
        <v>48950</v>
      </c>
      <c r="G32" s="75">
        <v>52550</v>
      </c>
      <c r="H32" s="75">
        <v>56200</v>
      </c>
      <c r="I32" s="75">
        <v>59800</v>
      </c>
    </row>
    <row r="33" spans="1:9">
      <c r="A33" s="75" t="s">
        <v>700</v>
      </c>
      <c r="B33" s="75">
        <v>25600</v>
      </c>
      <c r="C33" s="75">
        <v>29250</v>
      </c>
      <c r="D33" s="75">
        <v>32900</v>
      </c>
      <c r="E33" s="75">
        <v>36550</v>
      </c>
      <c r="F33" s="75">
        <v>39500</v>
      </c>
      <c r="G33" s="75">
        <v>42400</v>
      </c>
      <c r="H33" s="75">
        <v>45350</v>
      </c>
      <c r="I33" s="75">
        <v>48250</v>
      </c>
    </row>
    <row r="34" spans="1:9">
      <c r="A34" s="75" t="s">
        <v>701</v>
      </c>
      <c r="B34" s="75">
        <v>27650</v>
      </c>
      <c r="C34" s="75">
        <v>31600</v>
      </c>
      <c r="D34" s="75">
        <v>35550</v>
      </c>
      <c r="E34" s="75">
        <v>39500</v>
      </c>
      <c r="F34" s="75">
        <v>42700</v>
      </c>
      <c r="G34" s="75">
        <v>45850</v>
      </c>
      <c r="H34" s="75">
        <v>49000</v>
      </c>
      <c r="I34" s="75">
        <v>52150</v>
      </c>
    </row>
    <row r="35" spans="1:9">
      <c r="A35" s="75" t="s">
        <v>702</v>
      </c>
      <c r="B35" s="75">
        <v>31750</v>
      </c>
      <c r="C35" s="75">
        <v>36250</v>
      </c>
      <c r="D35" s="75">
        <v>40800</v>
      </c>
      <c r="E35" s="75">
        <v>45300</v>
      </c>
      <c r="F35" s="75">
        <v>48950</v>
      </c>
      <c r="G35" s="75">
        <v>52550</v>
      </c>
      <c r="H35" s="75">
        <v>56200</v>
      </c>
      <c r="I35" s="75">
        <v>59800</v>
      </c>
    </row>
    <row r="36" spans="1:9">
      <c r="A36" s="75" t="s">
        <v>703</v>
      </c>
      <c r="B36" s="75">
        <v>34200</v>
      </c>
      <c r="C36" s="75">
        <v>39050</v>
      </c>
      <c r="D36" s="75">
        <v>43950</v>
      </c>
      <c r="E36" s="75">
        <v>48800</v>
      </c>
      <c r="F36" s="75">
        <v>52750</v>
      </c>
      <c r="G36" s="75">
        <v>56650</v>
      </c>
      <c r="H36" s="75">
        <v>60550</v>
      </c>
      <c r="I36" s="75">
        <v>64450</v>
      </c>
    </row>
    <row r="37" spans="1:9">
      <c r="A37" s="75" t="s">
        <v>704</v>
      </c>
      <c r="B37" s="75">
        <v>27650</v>
      </c>
      <c r="C37" s="75">
        <v>31600</v>
      </c>
      <c r="D37" s="75">
        <v>35550</v>
      </c>
      <c r="E37" s="75">
        <v>39500</v>
      </c>
      <c r="F37" s="75">
        <v>42700</v>
      </c>
      <c r="G37" s="75">
        <v>45850</v>
      </c>
      <c r="H37" s="75">
        <v>49000</v>
      </c>
      <c r="I37" s="75">
        <v>52150</v>
      </c>
    </row>
    <row r="38" spans="1:9">
      <c r="A38" s="75" t="s">
        <v>705</v>
      </c>
      <c r="B38" s="75">
        <v>42450</v>
      </c>
      <c r="C38" s="75">
        <v>48500</v>
      </c>
      <c r="D38" s="75">
        <v>54550</v>
      </c>
      <c r="E38" s="75">
        <v>60600</v>
      </c>
      <c r="F38" s="75">
        <v>65450</v>
      </c>
      <c r="G38" s="75">
        <v>70300</v>
      </c>
      <c r="H38" s="75">
        <v>75150</v>
      </c>
      <c r="I38" s="75">
        <v>80000</v>
      </c>
    </row>
    <row r="39" spans="1:9">
      <c r="A39" s="75" t="s">
        <v>706</v>
      </c>
      <c r="B39" s="75">
        <v>63950</v>
      </c>
      <c r="C39" s="75">
        <v>73100</v>
      </c>
      <c r="D39" s="75">
        <v>82250</v>
      </c>
      <c r="E39" s="75">
        <v>91350</v>
      </c>
      <c r="F39" s="75">
        <v>98700</v>
      </c>
      <c r="G39" s="75">
        <v>106000</v>
      </c>
      <c r="H39" s="75">
        <v>113300</v>
      </c>
      <c r="I39" s="75">
        <v>120600</v>
      </c>
    </row>
    <row r="40" spans="1:9">
      <c r="A40" s="75" t="s">
        <v>707</v>
      </c>
      <c r="B40" s="75">
        <v>25900</v>
      </c>
      <c r="C40" s="75">
        <v>29600</v>
      </c>
      <c r="D40" s="75">
        <v>33300</v>
      </c>
      <c r="E40" s="75">
        <v>37000</v>
      </c>
      <c r="F40" s="75">
        <v>40000</v>
      </c>
      <c r="G40" s="75">
        <v>42950</v>
      </c>
      <c r="H40" s="75">
        <v>45900</v>
      </c>
      <c r="I40" s="75">
        <v>48850</v>
      </c>
    </row>
    <row r="41" spans="1:9">
      <c r="A41" s="75" t="s">
        <v>708</v>
      </c>
      <c r="B41" s="75">
        <v>34250</v>
      </c>
      <c r="C41" s="75">
        <v>39150</v>
      </c>
      <c r="D41" s="75">
        <v>44050</v>
      </c>
      <c r="E41" s="75">
        <v>48900</v>
      </c>
      <c r="F41" s="75">
        <v>52850</v>
      </c>
      <c r="G41" s="75">
        <v>56750</v>
      </c>
      <c r="H41" s="75">
        <v>60650</v>
      </c>
      <c r="I41" s="75">
        <v>64550</v>
      </c>
    </row>
    <row r="42" spans="1:9">
      <c r="A42" s="75" t="s">
        <v>709</v>
      </c>
      <c r="B42" s="75">
        <v>63950</v>
      </c>
      <c r="C42" s="75">
        <v>73100</v>
      </c>
      <c r="D42" s="75">
        <v>82250</v>
      </c>
      <c r="E42" s="75">
        <v>91350</v>
      </c>
      <c r="F42" s="75">
        <v>98700</v>
      </c>
      <c r="G42" s="75">
        <v>106000</v>
      </c>
      <c r="H42" s="75">
        <v>113300</v>
      </c>
      <c r="I42" s="75">
        <v>120600</v>
      </c>
    </row>
    <row r="43" spans="1:9">
      <c r="A43" s="75" t="s">
        <v>710</v>
      </c>
      <c r="B43" s="75">
        <v>43750</v>
      </c>
      <c r="C43" s="75">
        <v>50000</v>
      </c>
      <c r="D43" s="75">
        <v>56250</v>
      </c>
      <c r="E43" s="75">
        <v>62450</v>
      </c>
      <c r="F43" s="75">
        <v>67450</v>
      </c>
      <c r="G43" s="75">
        <v>72450</v>
      </c>
      <c r="H43" s="75">
        <v>77450</v>
      </c>
      <c r="I43" s="75">
        <v>82450</v>
      </c>
    </row>
    <row r="44" spans="1:9">
      <c r="A44" s="75" t="s">
        <v>711</v>
      </c>
      <c r="B44" s="75">
        <v>58000</v>
      </c>
      <c r="C44" s="75">
        <v>66300</v>
      </c>
      <c r="D44" s="75">
        <v>74600</v>
      </c>
      <c r="E44" s="75">
        <v>82850</v>
      </c>
      <c r="F44" s="75">
        <v>89500</v>
      </c>
      <c r="G44" s="75">
        <v>96150</v>
      </c>
      <c r="H44" s="75">
        <v>102750</v>
      </c>
      <c r="I44" s="75">
        <v>109400</v>
      </c>
    </row>
    <row r="45" spans="1:9">
      <c r="A45" s="75" t="s">
        <v>712</v>
      </c>
      <c r="B45" s="75">
        <v>48650</v>
      </c>
      <c r="C45" s="75">
        <v>55600</v>
      </c>
      <c r="D45" s="75">
        <v>62550</v>
      </c>
      <c r="E45" s="75">
        <v>69500</v>
      </c>
      <c r="F45" s="75">
        <v>75100</v>
      </c>
      <c r="G45" s="75">
        <v>80650</v>
      </c>
      <c r="H45" s="75">
        <v>86200</v>
      </c>
      <c r="I45" s="75">
        <v>91750</v>
      </c>
    </row>
    <row r="46" spans="1:9">
      <c r="A46" s="75" t="s">
        <v>713</v>
      </c>
      <c r="B46" s="75">
        <v>24850</v>
      </c>
      <c r="C46" s="75">
        <v>28400</v>
      </c>
      <c r="D46" s="75">
        <v>31950</v>
      </c>
      <c r="E46" s="75">
        <v>35500</v>
      </c>
      <c r="F46" s="75">
        <v>38350</v>
      </c>
      <c r="G46" s="75">
        <v>41200</v>
      </c>
      <c r="H46" s="75">
        <v>44050</v>
      </c>
      <c r="I46" s="75">
        <v>46900</v>
      </c>
    </row>
    <row r="47" spans="1:9">
      <c r="A47" s="75" t="s">
        <v>714</v>
      </c>
      <c r="B47" s="75">
        <v>29600</v>
      </c>
      <c r="C47" s="75">
        <v>33800</v>
      </c>
      <c r="D47" s="75">
        <v>38050</v>
      </c>
      <c r="E47" s="75">
        <v>42250</v>
      </c>
      <c r="F47" s="75">
        <v>45650</v>
      </c>
      <c r="G47" s="75">
        <v>49050</v>
      </c>
      <c r="H47" s="75">
        <v>52400</v>
      </c>
      <c r="I47" s="75">
        <v>55800</v>
      </c>
    </row>
    <row r="48" spans="1:9">
      <c r="A48" s="75" t="s">
        <v>715</v>
      </c>
      <c r="B48" s="75">
        <v>24400</v>
      </c>
      <c r="C48" s="75">
        <v>27900</v>
      </c>
      <c r="D48" s="75">
        <v>31400</v>
      </c>
      <c r="E48" s="75">
        <v>34850</v>
      </c>
      <c r="F48" s="75">
        <v>37650</v>
      </c>
      <c r="G48" s="75">
        <v>40450</v>
      </c>
      <c r="H48" s="75">
        <v>43250</v>
      </c>
      <c r="I48" s="75">
        <v>46050</v>
      </c>
    </row>
    <row r="49" spans="1:9">
      <c r="A49" s="75" t="s">
        <v>716</v>
      </c>
      <c r="B49" s="75">
        <v>34000</v>
      </c>
      <c r="C49" s="75">
        <v>38850</v>
      </c>
      <c r="D49" s="75">
        <v>43700</v>
      </c>
      <c r="E49" s="75">
        <v>48550</v>
      </c>
      <c r="F49" s="75">
        <v>52450</v>
      </c>
      <c r="G49" s="75">
        <v>56350</v>
      </c>
      <c r="H49" s="75">
        <v>60250</v>
      </c>
      <c r="I49" s="75">
        <v>64100</v>
      </c>
    </row>
    <row r="50" spans="1:9">
      <c r="A50" s="75" t="s">
        <v>717</v>
      </c>
      <c r="B50" s="75">
        <v>40750</v>
      </c>
      <c r="C50" s="75">
        <v>46550</v>
      </c>
      <c r="D50" s="75">
        <v>52350</v>
      </c>
      <c r="E50" s="75">
        <v>58150</v>
      </c>
      <c r="F50" s="75">
        <v>62850</v>
      </c>
      <c r="G50" s="75">
        <v>67500</v>
      </c>
      <c r="H50" s="75">
        <v>72150</v>
      </c>
      <c r="I50" s="75">
        <v>76800</v>
      </c>
    </row>
    <row r="51" spans="1:9">
      <c r="A51" s="75" t="s">
        <v>718</v>
      </c>
      <c r="B51" s="75">
        <v>25000</v>
      </c>
      <c r="C51" s="75">
        <v>28550</v>
      </c>
      <c r="D51" s="75">
        <v>32100</v>
      </c>
      <c r="E51" s="75">
        <v>35650</v>
      </c>
      <c r="F51" s="75">
        <v>38550</v>
      </c>
      <c r="G51" s="75">
        <v>41400</v>
      </c>
      <c r="H51" s="75">
        <v>44250</v>
      </c>
      <c r="I51" s="75">
        <v>47100</v>
      </c>
    </row>
    <row r="52" spans="1:9">
      <c r="A52" s="75" t="s">
        <v>719</v>
      </c>
      <c r="B52" s="75">
        <v>24400</v>
      </c>
      <c r="C52" s="75">
        <v>27900</v>
      </c>
      <c r="D52" s="75">
        <v>31400</v>
      </c>
      <c r="E52" s="75">
        <v>34850</v>
      </c>
      <c r="F52" s="75">
        <v>37650</v>
      </c>
      <c r="G52" s="75">
        <v>40450</v>
      </c>
      <c r="H52" s="75">
        <v>43250</v>
      </c>
      <c r="I52" s="75">
        <v>46050</v>
      </c>
    </row>
    <row r="53" spans="1:9">
      <c r="A53" s="75" t="s">
        <v>720</v>
      </c>
      <c r="B53" s="75">
        <v>24400</v>
      </c>
      <c r="C53" s="75">
        <v>27900</v>
      </c>
      <c r="D53" s="75">
        <v>31400</v>
      </c>
      <c r="E53" s="75">
        <v>34850</v>
      </c>
      <c r="F53" s="75">
        <v>37650</v>
      </c>
      <c r="G53" s="75">
        <v>40450</v>
      </c>
      <c r="H53" s="75">
        <v>43250</v>
      </c>
      <c r="I53" s="75">
        <v>46050</v>
      </c>
    </row>
    <row r="54" spans="1:9">
      <c r="A54" s="75" t="s">
        <v>721</v>
      </c>
      <c r="B54" s="75">
        <v>24400</v>
      </c>
      <c r="C54" s="75">
        <v>27900</v>
      </c>
      <c r="D54" s="75">
        <v>31400</v>
      </c>
      <c r="E54" s="75">
        <v>34850</v>
      </c>
      <c r="F54" s="75">
        <v>37650</v>
      </c>
      <c r="G54" s="75">
        <v>40450</v>
      </c>
      <c r="H54" s="75">
        <v>43250</v>
      </c>
      <c r="I54" s="75">
        <v>46050</v>
      </c>
    </row>
    <row r="55" spans="1:9">
      <c r="A55" s="75" t="s">
        <v>722</v>
      </c>
      <c r="B55" s="75">
        <v>24400</v>
      </c>
      <c r="C55" s="75">
        <v>27900</v>
      </c>
      <c r="D55" s="75">
        <v>31400</v>
      </c>
      <c r="E55" s="75">
        <v>34850</v>
      </c>
      <c r="F55" s="75">
        <v>37650</v>
      </c>
      <c r="G55" s="75">
        <v>40450</v>
      </c>
      <c r="H55" s="75">
        <v>43250</v>
      </c>
      <c r="I55" s="75">
        <v>46050</v>
      </c>
    </row>
    <row r="56" spans="1:9">
      <c r="A56" s="75" t="s">
        <v>723</v>
      </c>
      <c r="B56" s="75">
        <v>26050</v>
      </c>
      <c r="C56" s="75">
        <v>29800</v>
      </c>
      <c r="D56" s="75">
        <v>33500</v>
      </c>
      <c r="E56" s="75">
        <v>37200</v>
      </c>
      <c r="F56" s="75">
        <v>40200</v>
      </c>
      <c r="G56" s="75">
        <v>43200</v>
      </c>
      <c r="H56" s="75">
        <v>46150</v>
      </c>
      <c r="I56" s="75">
        <v>49150</v>
      </c>
    </row>
    <row r="57" spans="1:9">
      <c r="A57" s="75" t="s">
        <v>724</v>
      </c>
      <c r="B57" s="75">
        <v>39250</v>
      </c>
      <c r="C57" s="75">
        <v>44850</v>
      </c>
      <c r="D57" s="75">
        <v>50450</v>
      </c>
      <c r="E57" s="75">
        <v>56050</v>
      </c>
      <c r="F57" s="75">
        <v>60550</v>
      </c>
      <c r="G57" s="75">
        <v>65050</v>
      </c>
      <c r="H57" s="75">
        <v>69550</v>
      </c>
      <c r="I57" s="75">
        <v>74000</v>
      </c>
    </row>
    <row r="58" spans="1:9">
      <c r="A58" s="75" t="s">
        <v>725</v>
      </c>
      <c r="B58" s="75">
        <v>31050</v>
      </c>
      <c r="C58" s="75">
        <v>35450</v>
      </c>
      <c r="D58" s="75">
        <v>39900</v>
      </c>
      <c r="E58" s="75">
        <v>44300</v>
      </c>
      <c r="F58" s="75">
        <v>47850</v>
      </c>
      <c r="G58" s="75">
        <v>51400</v>
      </c>
      <c r="H58" s="75">
        <v>54950</v>
      </c>
      <c r="I58" s="75">
        <v>58500</v>
      </c>
    </row>
    <row r="59" spans="1:9">
      <c r="A59" s="75" t="s">
        <v>726</v>
      </c>
      <c r="B59" s="75">
        <v>24400</v>
      </c>
      <c r="C59" s="75">
        <v>27900</v>
      </c>
      <c r="D59" s="75">
        <v>31400</v>
      </c>
      <c r="E59" s="75">
        <v>34850</v>
      </c>
      <c r="F59" s="75">
        <v>37650</v>
      </c>
      <c r="G59" s="75">
        <v>40450</v>
      </c>
      <c r="H59" s="75">
        <v>43250</v>
      </c>
      <c r="I59" s="75">
        <v>46050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2776CB68E6CD42973DC31C9BDA2957" ma:contentTypeVersion="2" ma:contentTypeDescription="Create a new document." ma:contentTypeScope="" ma:versionID="a89008b73d6b31c41b05199f8f476a03">
  <xsd:schema xmlns:xsd="http://www.w3.org/2001/XMLSchema" xmlns:xs="http://www.w3.org/2001/XMLSchema" xmlns:p="http://schemas.microsoft.com/office/2006/metadata/properties" xmlns:ns2="5e509448-7da1-4515-925a-48fc2f328d1a" targetNamespace="http://schemas.microsoft.com/office/2006/metadata/properties" ma:root="true" ma:fieldsID="5d0f9ab68adaa94faf32fc2446250848" ns2:_="">
    <xsd:import namespace="5e509448-7da1-4515-925a-48fc2f328d1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09448-7da1-4515-925a-48fc2f328d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35E541-6452-469A-AD2A-050AD0250A7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E2340DA-CA99-43D2-B939-B43C5C90A9DA}">
  <ds:schemaRefs>
    <ds:schemaRef ds:uri="http://schemas.microsoft.com/sharepoint/v3/contenttype/forms"/>
  </ds:schemaRefs>
</ds:datastoreItem>
</file>

<file path=customXml/itemProps3.xml><?xml version="1.0" encoding="utf-8"?>
<ds:datastoreItem xmlns:ds="http://schemas.openxmlformats.org/officeDocument/2006/customXml" ds:itemID="{D563CA1D-6506-4A15-8B6A-9037F747AC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09448-7da1-4515-925a-48fc2f328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CoverPage</vt:lpstr>
      <vt:lpstr>Overview</vt:lpstr>
      <vt:lpstr>Threshold</vt:lpstr>
      <vt:lpstr>Certification &amp; Legal</vt:lpstr>
      <vt:lpstr>Applicant Documents</vt:lpstr>
      <vt:lpstr>Supportive Services Plan</vt:lpstr>
      <vt:lpstr>Local &amp; Env Verification</vt:lpstr>
      <vt:lpstr>Award, Match, and Revenue</vt:lpstr>
      <vt:lpstr>MTSP 50% Income Limits </vt:lpstr>
      <vt:lpstr>Rent Limits</vt:lpstr>
      <vt:lpstr>Drop Down</vt:lpstr>
      <vt:lpstr>Dev Sources</vt:lpstr>
      <vt:lpstr>Dev Budget</vt:lpstr>
      <vt:lpstr>Operating</vt:lpstr>
      <vt:lpstr>Cash Flow</vt:lpstr>
      <vt:lpstr>Application Scoring Criteria</vt:lpstr>
      <vt:lpstr>App Support</vt:lpstr>
      <vt:lpstr>Upload Checklists</vt:lpstr>
      <vt:lpstr>'Certification &amp; Legal'!Print_Area</vt:lpstr>
      <vt:lpstr>Operating!Print_Area</vt:lpstr>
      <vt:lpstr>'App Support'!Print_Titles</vt:lpstr>
      <vt:lpstr>'Application Scoring Criteria'!Print_Titles</vt:lpstr>
      <vt:lpstr>'Dev Budget'!Print_Titles</vt:lpstr>
      <vt:lpstr>Operating!Print_Titles</vt:lpstr>
      <vt:lpstr>Overview!Print_Titles</vt:lpstr>
      <vt:lpstr>'Supportive Services Plan'!Print_Titles</vt:lpstr>
      <vt:lpstr>Threshold!Print_Titles</vt:lpstr>
      <vt:lpstr>'Upload Checklists'!Print_Titles</vt:lpstr>
    </vt:vector>
  </TitlesOfParts>
  <Manager/>
  <Company>Department of Housing &amp; Community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Rodine</dc:creator>
  <cp:keywords/>
  <dc:description/>
  <cp:lastModifiedBy>Melissa McCuiston</cp:lastModifiedBy>
  <cp:revision/>
  <dcterms:created xsi:type="dcterms:W3CDTF">2005-01-12T19:18:16Z</dcterms:created>
  <dcterms:modified xsi:type="dcterms:W3CDTF">2023-02-13T22:49:44Z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0x010100A52776CB68E6CD42973DC31C9BDA2957</vt:lpwstr>
  </property>
  <property fmtid="{D5CDD505-2E9C-101B-9397-08002B2CF9AE}" pid="3" name="Order">
    <vt:r8>8768000</vt:r8>
  </property>
  <property fmtid="{D5CDD505-2E9C-101B-9397-08002B2CF9AE}" pid="4" name="SharedWithUsers">
    <vt:lpwstr>16;#Miles, Tashia@HCD</vt:lpwstr>
  </property>
  <property fmtid="{D5CDD505-2E9C-101B-9397-08002B2CF9AE}" pid="5" name="ComplianceAssetId">
    <vt:lpwstr/>
  </property>
</Properties>
</file>